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mbel\Desktop\Для оновления на сайте\"/>
    </mc:Choice>
  </mc:AlternateContent>
  <bookViews>
    <workbookView xWindow="0" yWindow="0" windowWidth="24000" windowHeight="8775"/>
  </bookViews>
  <sheets>
    <sheet name="Кадры" sheetId="1" r:id="rId1"/>
    <sheet name="Лист 1" sheetId="2" r:id="rId2"/>
    <sheet name="2019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3" l="1"/>
  <c r="B37" i="3"/>
  <c r="H7" i="1"/>
  <c r="I7" i="1"/>
  <c r="I10" i="1"/>
  <c r="H10" i="1"/>
  <c r="G10" i="1"/>
  <c r="E29" i="1"/>
  <c r="C29" i="1"/>
  <c r="G9" i="1"/>
  <c r="D11" i="3" l="1"/>
  <c r="E30" i="1"/>
  <c r="G11" i="1"/>
  <c r="E21" i="3"/>
  <c r="B36" i="3"/>
  <c r="B35" i="3"/>
  <c r="C9" i="1"/>
  <c r="R5" i="2"/>
  <c r="F6" i="1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C11" i="3"/>
  <c r="G6" i="1" l="1"/>
  <c r="G8" i="1" s="1"/>
  <c r="O15" i="2"/>
  <c r="C17" i="1" l="1"/>
  <c r="D17" i="1"/>
  <c r="G12" i="1"/>
  <c r="D6" i="1"/>
  <c r="E6" i="1" s="1"/>
  <c r="H6" i="1" s="1"/>
  <c r="I6" i="1" s="1"/>
  <c r="D19" i="1" l="1"/>
  <c r="C21" i="1"/>
  <c r="C23" i="1" s="1"/>
  <c r="C25" i="1" s="1"/>
  <c r="D21" i="1"/>
  <c r="D23" i="1" s="1"/>
  <c r="D25" i="1" s="1"/>
  <c r="C19" i="1"/>
  <c r="D8" i="1"/>
  <c r="L15" i="2"/>
  <c r="D24" i="1" l="1"/>
  <c r="C24" i="1"/>
  <c r="D9" i="1"/>
  <c r="E9" i="1" l="1"/>
  <c r="F9" i="1" s="1"/>
  <c r="H9" i="1" s="1"/>
  <c r="I9" i="1" s="1"/>
  <c r="D11" i="1"/>
  <c r="F11" i="1"/>
  <c r="C11" i="1"/>
  <c r="I11" i="1" l="1"/>
  <c r="H11" i="1"/>
  <c r="E11" i="1"/>
  <c r="E8" i="1"/>
  <c r="E12" i="1" s="1"/>
  <c r="F8" i="1"/>
  <c r="F12" i="1" s="1"/>
  <c r="H8" i="1"/>
  <c r="H12" i="1" s="1"/>
  <c r="I8" i="1"/>
  <c r="D12" i="1"/>
  <c r="O6" i="2"/>
  <c r="O7" i="2"/>
  <c r="O8" i="2"/>
  <c r="O9" i="2"/>
  <c r="O10" i="2"/>
  <c r="O11" i="2"/>
  <c r="O12" i="2"/>
  <c r="O5" i="2"/>
  <c r="I12" i="1" l="1"/>
  <c r="O13" i="2"/>
  <c r="C8" i="1" l="1"/>
  <c r="C12" i="1" s="1"/>
</calcChain>
</file>

<file path=xl/sharedStrings.xml><?xml version="1.0" encoding="utf-8"?>
<sst xmlns="http://schemas.openxmlformats.org/spreadsheetml/2006/main" count="134" uniqueCount="94">
  <si>
    <t>2016 г.</t>
  </si>
  <si>
    <t>2017 г.</t>
  </si>
  <si>
    <t>2018 г.</t>
  </si>
  <si>
    <t>2019 г.</t>
  </si>
  <si>
    <t>Показатели</t>
  </si>
  <si>
    <t>2015 г.</t>
  </si>
  <si>
    <t>Специальность</t>
  </si>
  <si>
    <t>Уровень подготовки</t>
  </si>
  <si>
    <t>Форма обучения</t>
  </si>
  <si>
    <t>Контингент</t>
  </si>
  <si>
    <t>Единица измерения</t>
  </si>
  <si>
    <t>Значения показателей объема государственной услуги</t>
  </si>
  <si>
    <t>отчетный
финансовый
2013 год</t>
  </si>
  <si>
    <t>текущий
финансовый
2014 год</t>
  </si>
  <si>
    <t>очередной
финансовый
2015 год</t>
  </si>
  <si>
    <t>первый год
планового
периода 2016 год</t>
  </si>
  <si>
    <t>второй год
планового
периода 2017 год</t>
  </si>
  <si>
    <t>Лечебное дело</t>
  </si>
  <si>
    <t>Среднее (полное)</t>
  </si>
  <si>
    <t>Колледж</t>
  </si>
  <si>
    <t>Количество детей</t>
  </si>
  <si>
    <t>Количество обучающихся</t>
  </si>
  <si>
    <t>Сестринское дело</t>
  </si>
  <si>
    <t>Вечерняя</t>
  </si>
  <si>
    <t>Фармация</t>
  </si>
  <si>
    <t>Основное</t>
  </si>
  <si>
    <t>Акушерское дело</t>
  </si>
  <si>
    <t>Лабораторная диагностика</t>
  </si>
  <si>
    <t>3.2 Объем государственной услуги (в натуральных показателях)</t>
  </si>
  <si>
    <t>Стоимость, согласно сайту</t>
  </si>
  <si>
    <t>Стоимость бюджетного обучения</t>
  </si>
  <si>
    <t>обучающиеся бюджет</t>
  </si>
  <si>
    <t>средняя стоимость</t>
  </si>
  <si>
    <t>Прием 2015 г. за счет бюджета</t>
  </si>
  <si>
    <t>Количество бюджетных мест СПО в РТ всего</t>
  </si>
  <si>
    <t>Количество бюджетных мест в ВУЗ в РТ всего</t>
  </si>
  <si>
    <t>на примере Казанского медицинского колледжа и Казанского федерального университета</t>
  </si>
  <si>
    <t>Итого</t>
  </si>
  <si>
    <t>Выпадающие расходы из ВРП</t>
  </si>
  <si>
    <t>Влияние на ВРП, %</t>
  </si>
  <si>
    <t>Средняя цена КФУ</t>
  </si>
  <si>
    <t>Расчет средств бюджета Республики Татарстан, затраченных по линии бюджетной формы обучения</t>
  </si>
  <si>
    <t>Показатель</t>
  </si>
  <si>
    <t>Значение</t>
  </si>
  <si>
    <t>Пример</t>
  </si>
  <si>
    <t>доля КМК, %</t>
  </si>
  <si>
    <t>доля КФУ, %</t>
  </si>
  <si>
    <t>Стоимость обучения одного студента (Казанский медицинский колледж) средняя, руб.</t>
  </si>
  <si>
    <t>Количество струдентов обучающихся на бюджетной основе, чел.</t>
  </si>
  <si>
    <t>Затраты бюджета, руб.</t>
  </si>
  <si>
    <t>Выпадающие расходы бюджета при аналогичном процент трудоустройство обучающихся по бюджету, руб.</t>
  </si>
  <si>
    <t>КФУ процент трудоустройства</t>
  </si>
  <si>
    <t>Процент трудоустройства по специальности КМК (общий, независимо от формы обучения), %</t>
  </si>
  <si>
    <t>Процент трудоустройства по специальности П(К)ФУ "специалитет" (общий, независимо от формы обучения), %</t>
  </si>
  <si>
    <t>2020 г. (прогноз)</t>
  </si>
  <si>
    <t>2021 г. (прогноз)</t>
  </si>
  <si>
    <t>Лечебное дело (на базе среднего (полного) общего образования)</t>
  </si>
  <si>
    <t>Акушерское дело (на базе среднего (полного) общего образования)</t>
  </si>
  <si>
    <t>Лабораторная диагностика (на базе среднего (полного) общего образования)</t>
  </si>
  <si>
    <t>Стоматология ортопедическая (на базе среднего (полного) общего образования)</t>
  </si>
  <si>
    <t>Фармация (на базе среднего (полного) общего образования)</t>
  </si>
  <si>
    <t>Фармация (на базе основного общего образования)</t>
  </si>
  <si>
    <t>Сестринское дело (на базе среднего (полного) общего образования)</t>
  </si>
  <si>
    <t>Сестринское дело (на базе основного общего образования)</t>
  </si>
  <si>
    <t>Сестринское дело (вечерняя форма обучения)</t>
  </si>
  <si>
    <t>Стоимость обучения на 2019-2020 учебный год (Казанский медицинский колледж)</t>
  </si>
  <si>
    <t>Количество студентов обучающихся на бюджетной основе, чел.</t>
  </si>
  <si>
    <t>Количество студентов, обучающихся на бюджетной основе в 2019-2020 учебный год, 1 курс (Казанский медицинский колледж)</t>
  </si>
  <si>
    <t>Институт фундаментальной медицины и биологии</t>
  </si>
  <si>
    <t>Институт экологии и природопользования</t>
  </si>
  <si>
    <t>Институт геологии и нефтегазовых технологий</t>
  </si>
  <si>
    <t>Институт международных отношений</t>
  </si>
  <si>
    <t>Институт математики и механики им. Н.И. Лобачевского</t>
  </si>
  <si>
    <t>Институт физики</t>
  </si>
  <si>
    <t>Химический институт им. А.М. Бутлерова</t>
  </si>
  <si>
    <t>Институт вычислительной математики и информационных технологий</t>
  </si>
  <si>
    <t>Юридический факультет</t>
  </si>
  <si>
    <t>Институт филологии и межкультурной коммуникации</t>
  </si>
  <si>
    <t>Институт психологии и образования</t>
  </si>
  <si>
    <t>Институт социально-философских наук и массовых коммуникаций</t>
  </si>
  <si>
    <t>Институт управления, экономики и финансов</t>
  </si>
  <si>
    <t>Высшая школа информационных технологий и интеллектуальных систем</t>
  </si>
  <si>
    <t>Инженерный институт</t>
  </si>
  <si>
    <t>Высшая школа бизнеса КФУ</t>
  </si>
  <si>
    <t>Елабужский институт (филиал) КФУ</t>
  </si>
  <si>
    <t>Стоимость обучения одного студента (Казанский Федеральный Университет) средняя, руб.</t>
  </si>
  <si>
    <t>Набережночелнинский институт (филиал) КФУ</t>
  </si>
  <si>
    <t>Стоимость обучения на 2019-2020 учебный год в КФУ</t>
  </si>
  <si>
    <t>КФУ</t>
  </si>
  <si>
    <t>Институты КФУ</t>
  </si>
  <si>
    <t>Количество студентов, принятых в КФУ на 1 курс в 2019-2020 уч.г. (чел.)</t>
  </si>
  <si>
    <t>Количество студентов, принятых в КФУ на 1 курс на бюджетной основе в 2019-2020 уч.г.  (чел.)</t>
  </si>
  <si>
    <t>Общее количество студентов, обучающихся в КФУ в 2019-2020 уч.г.  (чел.)</t>
  </si>
  <si>
    <t>Количество студентов, обучающихся в КФУ на бюджетной основе в 2019-2020 учебный год, (чел.)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</si>
</sst>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name val="Tahoma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3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333333"/>
      <name val="Arial"/>
      <family val="2"/>
      <charset val="204"/>
    </font>
    <font>
      <sz val="11"/>
      <color rgb="FF333333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07">
    <xf numFmtId="0" fontId="0" fillId="0" borderId="0" xfId="0"/>
    <xf numFmtId="2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3" fontId="5" fillId="0" borderId="1" xfId="2" applyNumberFormat="1" applyFont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" fontId="0" fillId="0" borderId="0" xfId="0" applyNumberFormat="1"/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3" fontId="0" fillId="0" borderId="0" xfId="0" applyNumberFormat="1" applyBorder="1"/>
    <xf numFmtId="0" fontId="1" fillId="0" borderId="0" xfId="0" applyFont="1" applyBorder="1" applyAlignment="1">
      <alignment horizontal="right" wrapText="1"/>
    </xf>
    <xf numFmtId="0" fontId="0" fillId="0" borderId="0" xfId="0" applyBorder="1"/>
    <xf numFmtId="0" fontId="1" fillId="2" borderId="17" xfId="0" applyFont="1" applyFill="1" applyBorder="1" applyAlignment="1">
      <alignment horizontal="right" wrapText="1"/>
    </xf>
    <xf numFmtId="3" fontId="1" fillId="2" borderId="18" xfId="0" applyNumberFormat="1" applyFont="1" applyFill="1" applyBorder="1"/>
    <xf numFmtId="3" fontId="1" fillId="2" borderId="21" xfId="0" applyNumberFormat="1" applyFont="1" applyFill="1" applyBorder="1"/>
    <xf numFmtId="0" fontId="0" fillId="3" borderId="4" xfId="0" applyFill="1" applyBorder="1" applyAlignment="1">
      <alignment wrapText="1"/>
    </xf>
    <xf numFmtId="3" fontId="0" fillId="3" borderId="6" xfId="0" applyNumberFormat="1" applyFill="1" applyBorder="1"/>
    <xf numFmtId="0" fontId="0" fillId="3" borderId="9" xfId="0" applyFill="1" applyBorder="1" applyAlignment="1">
      <alignment wrapText="1"/>
    </xf>
    <xf numFmtId="3" fontId="0" fillId="3" borderId="10" xfId="0" applyNumberFormat="1" applyFill="1" applyBorder="1"/>
    <xf numFmtId="3" fontId="0" fillId="4" borderId="20" xfId="0" applyNumberFormat="1" applyFill="1" applyBorder="1"/>
    <xf numFmtId="0" fontId="0" fillId="5" borderId="4" xfId="0" applyFill="1" applyBorder="1" applyAlignment="1">
      <alignment wrapText="1"/>
    </xf>
    <xf numFmtId="3" fontId="0" fillId="5" borderId="6" xfId="0" applyNumberFormat="1" applyFill="1" applyBorder="1"/>
    <xf numFmtId="0" fontId="0" fillId="5" borderId="8" xfId="0" applyFill="1" applyBorder="1" applyAlignment="1">
      <alignment wrapText="1"/>
    </xf>
    <xf numFmtId="3" fontId="9" fillId="5" borderId="1" xfId="0" applyNumberFormat="1" applyFont="1" applyFill="1" applyBorder="1"/>
    <xf numFmtId="0" fontId="0" fillId="5" borderId="9" xfId="0" applyFill="1" applyBorder="1" applyAlignment="1">
      <alignment wrapText="1"/>
    </xf>
    <xf numFmtId="3" fontId="0" fillId="5" borderId="10" xfId="0" applyNumberFormat="1" applyFill="1" applyBorder="1"/>
    <xf numFmtId="3" fontId="0" fillId="5" borderId="20" xfId="0" applyNumberFormat="1" applyFill="1" applyBorder="1"/>
    <xf numFmtId="3" fontId="0" fillId="5" borderId="19" xfId="0" applyNumberFormat="1" applyFill="1" applyBorder="1"/>
    <xf numFmtId="0" fontId="0" fillId="6" borderId="13" xfId="0" applyFill="1" applyBorder="1" applyAlignment="1">
      <alignment wrapText="1"/>
    </xf>
    <xf numFmtId="3" fontId="0" fillId="6" borderId="3" xfId="0" applyNumberFormat="1" applyFill="1" applyBorder="1"/>
    <xf numFmtId="3" fontId="0" fillId="6" borderId="14" xfId="0" applyNumberFormat="1" applyFill="1" applyBorder="1"/>
    <xf numFmtId="0" fontId="0" fillId="6" borderId="8" xfId="0" applyFill="1" applyBorder="1" applyAlignment="1">
      <alignment wrapText="1"/>
    </xf>
    <xf numFmtId="3" fontId="0" fillId="6" borderId="1" xfId="0" applyNumberFormat="1" applyFill="1" applyBorder="1"/>
    <xf numFmtId="3" fontId="0" fillId="6" borderId="19" xfId="0" applyNumberFormat="1" applyFill="1" applyBorder="1"/>
    <xf numFmtId="0" fontId="0" fillId="6" borderId="15" xfId="0" applyFill="1" applyBorder="1" applyAlignment="1">
      <alignment wrapText="1"/>
    </xf>
    <xf numFmtId="3" fontId="0" fillId="6" borderId="2" xfId="0" applyNumberFormat="1" applyFill="1" applyBorder="1"/>
    <xf numFmtId="3" fontId="0" fillId="6" borderId="16" xfId="0" applyNumberForma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0" fillId="0" borderId="0" xfId="0" applyFont="1" applyFill="1"/>
    <xf numFmtId="0" fontId="0" fillId="0" borderId="0" xfId="0" applyFill="1"/>
    <xf numFmtId="4" fontId="0" fillId="0" borderId="0" xfId="0" applyNumberFormat="1" applyFill="1"/>
    <xf numFmtId="0" fontId="0" fillId="3" borderId="6" xfId="0" applyFill="1" applyBorder="1" applyAlignment="1">
      <alignment horizontal="right"/>
    </xf>
    <xf numFmtId="4" fontId="9" fillId="3" borderId="7" xfId="0" applyNumberFormat="1" applyFont="1" applyFill="1" applyBorder="1"/>
    <xf numFmtId="0" fontId="0" fillId="3" borderId="10" xfId="0" applyFill="1" applyBorder="1" applyAlignment="1">
      <alignment horizontal="right"/>
    </xf>
    <xf numFmtId="4" fontId="9" fillId="3" borderId="20" xfId="0" applyNumberFormat="1" applyFont="1" applyFill="1" applyBorder="1"/>
    <xf numFmtId="0" fontId="8" fillId="5" borderId="19" xfId="0" applyFont="1" applyFill="1" applyBorder="1"/>
    <xf numFmtId="0" fontId="0" fillId="5" borderId="8" xfId="0" applyFill="1" applyBorder="1"/>
    <xf numFmtId="0" fontId="8" fillId="6" borderId="19" xfId="0" applyFont="1" applyFill="1" applyBorder="1"/>
    <xf numFmtId="0" fontId="0" fillId="6" borderId="8" xfId="0" applyFill="1" applyBorder="1"/>
    <xf numFmtId="0" fontId="0" fillId="4" borderId="9" xfId="0" applyFill="1" applyBorder="1"/>
    <xf numFmtId="0" fontId="8" fillId="5" borderId="7" xfId="0" applyFont="1" applyFill="1" applyBorder="1"/>
    <xf numFmtId="0" fontId="0" fillId="5" borderId="9" xfId="0" applyFill="1" applyBorder="1"/>
    <xf numFmtId="0" fontId="0" fillId="4" borderId="13" xfId="0" applyFill="1" applyBorder="1" applyAlignment="1">
      <alignment wrapText="1"/>
    </xf>
    <xf numFmtId="3" fontId="0" fillId="4" borderId="14" xfId="0" applyNumberFormat="1" applyFill="1" applyBorder="1"/>
    <xf numFmtId="0" fontId="0" fillId="6" borderId="4" xfId="0" applyFill="1" applyBorder="1" applyAlignment="1">
      <alignment wrapText="1"/>
    </xf>
    <xf numFmtId="0" fontId="8" fillId="6" borderId="7" xfId="0" applyFont="1" applyFill="1" applyBorder="1"/>
    <xf numFmtId="0" fontId="0" fillId="6" borderId="9" xfId="0" applyFill="1" applyBorder="1"/>
    <xf numFmtId="3" fontId="0" fillId="6" borderId="20" xfId="0" applyNumberFormat="1" applyFill="1" applyBorder="1"/>
    <xf numFmtId="0" fontId="0" fillId="0" borderId="1" xfId="0" applyBorder="1"/>
    <xf numFmtId="0" fontId="0" fillId="0" borderId="3" xfId="0" applyBorder="1"/>
    <xf numFmtId="0" fontId="1" fillId="0" borderId="22" xfId="0" applyFont="1" applyBorder="1"/>
    <xf numFmtId="0" fontId="1" fillId="0" borderId="23" xfId="0" applyFont="1" applyBorder="1"/>
    <xf numFmtId="0" fontId="11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0" fontId="0" fillId="0" borderId="28" xfId="0" applyBorder="1"/>
    <xf numFmtId="0" fontId="0" fillId="0" borderId="27" xfId="0" applyBorder="1"/>
    <xf numFmtId="0" fontId="12" fillId="0" borderId="8" xfId="0" applyFont="1" applyBorder="1" applyAlignment="1">
      <alignment horizontal="left" vertical="center" wrapText="1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4" fontId="18" fillId="0" borderId="1" xfId="0" applyNumberFormat="1" applyFont="1" applyBorder="1" applyAlignment="1">
      <alignment horizontal="right" vertical="center" wrapText="1"/>
    </xf>
    <xf numFmtId="0" fontId="20" fillId="0" borderId="1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20" fillId="7" borderId="19" xfId="0" applyNumberFormat="1" applyFont="1" applyFill="1" applyBorder="1" applyAlignment="1">
      <alignment horizontal="center" vertical="center" wrapText="1"/>
    </xf>
    <xf numFmtId="0" fontId="0" fillId="0" borderId="24" xfId="0" applyBorder="1"/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3" fontId="12" fillId="0" borderId="19" xfId="0" applyNumberFormat="1" applyFont="1" applyBorder="1" applyAlignment="1">
      <alignment horizontal="right" vertical="center" wrapText="1"/>
    </xf>
    <xf numFmtId="4" fontId="13" fillId="8" borderId="10" xfId="0" applyNumberFormat="1" applyFont="1" applyFill="1" applyBorder="1" applyAlignment="1">
      <alignment horizontal="right" vertical="center" wrapText="1"/>
    </xf>
    <xf numFmtId="0" fontId="12" fillId="8" borderId="9" xfId="0" applyFont="1" applyFill="1" applyBorder="1" applyAlignment="1">
      <alignment horizontal="left" vertical="center" wrapText="1"/>
    </xf>
    <xf numFmtId="3" fontId="13" fillId="8" borderId="20" xfId="0" applyNumberFormat="1" applyFont="1" applyFill="1" applyBorder="1" applyAlignment="1">
      <alignment horizontal="right" vertical="center" wrapText="1"/>
    </xf>
    <xf numFmtId="4" fontId="19" fillId="8" borderId="1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28" xfId="0" applyFont="1" applyBorder="1" applyAlignment="1">
      <alignment horizontal="center"/>
    </xf>
  </cellXfs>
  <cellStyles count="3">
    <cellStyle name="Обычный" xfId="0" builtinId="0"/>
    <cellStyle name="Обычный 4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3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</c:trendlineLbl>
          </c:trendline>
          <c:val>
            <c:numRef>
              <c:f>Кадры!$E$7:$G$7</c:f>
              <c:numCache>
                <c:formatCode>#,##0</c:formatCode>
                <c:ptCount val="3"/>
                <c:pt idx="0">
                  <c:v>2162</c:v>
                </c:pt>
                <c:pt idx="1">
                  <c:v>2062</c:v>
                </c:pt>
                <c:pt idx="2">
                  <c:v>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0-4C8C-A1AD-2D20871BF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1456799"/>
        <c:axId val="1038726511"/>
      </c:lineChart>
      <c:catAx>
        <c:axId val="96145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8726511"/>
        <c:crosses val="autoZero"/>
        <c:auto val="1"/>
        <c:lblAlgn val="ctr"/>
        <c:lblOffset val="100"/>
        <c:noMultiLvlLbl val="0"/>
      </c:catAx>
      <c:valAx>
        <c:axId val="103872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61456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14</xdr:row>
      <xdr:rowOff>38100</xdr:rowOff>
    </xdr:from>
    <xdr:to>
      <xdr:col>11</xdr:col>
      <xdr:colOff>342901</xdr:colOff>
      <xdr:row>23</xdr:row>
      <xdr:rowOff>200024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909878</xdr:colOff>
      <xdr:row>0</xdr:row>
      <xdr:rowOff>190500</xdr:rowOff>
    </xdr:from>
    <xdr:to>
      <xdr:col>6</xdr:col>
      <xdr:colOff>485774</xdr:colOff>
      <xdr:row>7</xdr:row>
      <xdr:rowOff>288509</xdr:rowOff>
    </xdr:to>
    <xdr:pic>
      <xdr:nvPicPr>
        <xdr:cNvPr id="2" name="Рисунок 1" descr="http://kbmk.ru/upload/iblock/79a/79a00e2adbc1dccd43f54d65fc22385e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1828" y="190500"/>
          <a:ext cx="4414596" cy="2888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0"/>
  <sheetViews>
    <sheetView tabSelected="1" topLeftCell="A4" workbookViewId="0">
      <selection activeCell="S14" sqref="S14"/>
    </sheetView>
  </sheetViews>
  <sheetFormatPr defaultRowHeight="15" x14ac:dyDescent="0.25"/>
  <cols>
    <col min="1" max="1" width="4.85546875" customWidth="1"/>
    <col min="2" max="2" width="76.85546875" bestFit="1" customWidth="1"/>
    <col min="3" max="3" width="12.28515625" bestFit="1" customWidth="1"/>
    <col min="4" max="4" width="12.42578125" bestFit="1" customWidth="1"/>
    <col min="5" max="7" width="12.28515625" bestFit="1" customWidth="1"/>
    <col min="8" max="8" width="17" customWidth="1"/>
    <col min="9" max="9" width="16.28515625" customWidth="1"/>
    <col min="10" max="10" width="11" customWidth="1"/>
  </cols>
  <sheetData>
    <row r="2" spans="2:9" ht="17.25" x14ac:dyDescent="0.25">
      <c r="B2" s="94" t="s">
        <v>41</v>
      </c>
      <c r="C2" s="94"/>
      <c r="D2" s="94"/>
      <c r="E2" s="94"/>
      <c r="F2" s="94"/>
      <c r="G2" s="94"/>
      <c r="H2" s="94"/>
      <c r="I2" s="94"/>
    </row>
    <row r="3" spans="2:9" ht="17.25" x14ac:dyDescent="0.25">
      <c r="B3" s="95" t="s">
        <v>36</v>
      </c>
      <c r="C3" s="95"/>
      <c r="D3" s="95"/>
      <c r="E3" s="95"/>
      <c r="F3" s="95"/>
      <c r="G3" s="95"/>
      <c r="H3" s="95"/>
      <c r="I3" s="95"/>
    </row>
    <row r="4" spans="2:9" ht="18" thickBot="1" x14ac:dyDescent="0.3">
      <c r="B4" s="1"/>
      <c r="C4" s="1"/>
      <c r="D4" s="1"/>
      <c r="E4" s="1"/>
      <c r="F4" s="1"/>
      <c r="G4" s="1"/>
      <c r="H4" s="1"/>
      <c r="I4" s="1"/>
    </row>
    <row r="5" spans="2:9" ht="15.75" thickBot="1" x14ac:dyDescent="0.3">
      <c r="B5" s="14" t="s">
        <v>4</v>
      </c>
      <c r="C5" s="15" t="s">
        <v>5</v>
      </c>
      <c r="D5" s="15" t="s">
        <v>0</v>
      </c>
      <c r="E5" s="15" t="s">
        <v>1</v>
      </c>
      <c r="F5" s="15" t="s">
        <v>2</v>
      </c>
      <c r="G5" s="15" t="s">
        <v>3</v>
      </c>
      <c r="H5" s="15" t="s">
        <v>54</v>
      </c>
      <c r="I5" s="16" t="s">
        <v>55</v>
      </c>
    </row>
    <row r="6" spans="2:9" ht="30" x14ac:dyDescent="0.25">
      <c r="B6" s="28" t="s">
        <v>47</v>
      </c>
      <c r="C6" s="29">
        <v>54641</v>
      </c>
      <c r="D6" s="29">
        <f>C6+C6/100*7.3</f>
        <v>58629.792999999998</v>
      </c>
      <c r="E6" s="29">
        <f>D6*1.031</f>
        <v>60447.316582999993</v>
      </c>
      <c r="F6" s="29">
        <f>E6*1.041</f>
        <v>62925.656562902986</v>
      </c>
      <c r="G6" s="29">
        <f>'2019'!B11</f>
        <v>70723</v>
      </c>
      <c r="H6" s="29">
        <f>G6*1.05</f>
        <v>74259.150000000009</v>
      </c>
      <c r="I6" s="29">
        <f>H6*1.05</f>
        <v>77972.107500000013</v>
      </c>
    </row>
    <row r="7" spans="2:9" x14ac:dyDescent="0.25">
      <c r="B7" s="30" t="s">
        <v>66</v>
      </c>
      <c r="C7" s="31">
        <v>2162</v>
      </c>
      <c r="D7" s="31">
        <v>2162</v>
      </c>
      <c r="E7" s="31">
        <v>2162</v>
      </c>
      <c r="F7" s="31">
        <v>2062</v>
      </c>
      <c r="G7" s="31">
        <v>2059</v>
      </c>
      <c r="H7" s="31">
        <f>-51.5*4+2197.3</f>
        <v>1991.3000000000002</v>
      </c>
      <c r="I7" s="31">
        <f>-51.5*5+2197.3</f>
        <v>1939.8000000000002</v>
      </c>
    </row>
    <row r="8" spans="2:9" ht="15.75" thickBot="1" x14ac:dyDescent="0.3">
      <c r="B8" s="32" t="s">
        <v>49</v>
      </c>
      <c r="C8" s="33">
        <f>'Лист 1'!O13</f>
        <v>28904854</v>
      </c>
      <c r="D8" s="33">
        <f>D6*D7</f>
        <v>126757612.46599999</v>
      </c>
      <c r="E8" s="33">
        <f t="shared" ref="E8:I8" si="0">E6*E7</f>
        <v>130687098.45244598</v>
      </c>
      <c r="F8" s="33">
        <f t="shared" si="0"/>
        <v>129752703.83270596</v>
      </c>
      <c r="G8" s="33">
        <f>G6*G7</f>
        <v>145618657</v>
      </c>
      <c r="H8" s="33">
        <f t="shared" si="0"/>
        <v>147872245.39500004</v>
      </c>
      <c r="I8" s="34">
        <f t="shared" si="0"/>
        <v>151250294.12850004</v>
      </c>
    </row>
    <row r="9" spans="2:9" ht="30" x14ac:dyDescent="0.25">
      <c r="B9" s="36" t="s">
        <v>85</v>
      </c>
      <c r="C9" s="37">
        <f>'Лист 1'!R5</f>
        <v>86364.166666666672</v>
      </c>
      <c r="D9" s="37">
        <f>C9+C9/100*7.3</f>
        <v>92668.750833333339</v>
      </c>
      <c r="E9" s="37">
        <f>D9+D9/100*4.6</f>
        <v>96931.513371666675</v>
      </c>
      <c r="F9" s="37">
        <f>E9+E9/100*4.1</f>
        <v>100905.705419905</v>
      </c>
      <c r="G9" s="37">
        <f>'2019'!B37</f>
        <v>167442.9519474023</v>
      </c>
      <c r="H9" s="37">
        <f>G9+G9/100*5</f>
        <v>175815.09954477241</v>
      </c>
      <c r="I9" s="38">
        <f>H9+H9/100*5</f>
        <v>184605.85452201104</v>
      </c>
    </row>
    <row r="10" spans="2:9" x14ac:dyDescent="0.25">
      <c r="B10" s="39" t="s">
        <v>48</v>
      </c>
      <c r="C10" s="40">
        <v>18668</v>
      </c>
      <c r="D10" s="40">
        <v>18668</v>
      </c>
      <c r="E10" s="40">
        <v>18668</v>
      </c>
      <c r="F10" s="40">
        <v>18668</v>
      </c>
      <c r="G10" s="40">
        <f>'2019'!E21</f>
        <v>19761.727944227736</v>
      </c>
      <c r="H10" s="40">
        <f>'2019'!E21</f>
        <v>19761.727944227736</v>
      </c>
      <c r="I10" s="41">
        <f>'2019'!E21</f>
        <v>19761.727944227736</v>
      </c>
    </row>
    <row r="11" spans="2:9" ht="15.75" thickBot="1" x14ac:dyDescent="0.3">
      <c r="B11" s="42" t="s">
        <v>49</v>
      </c>
      <c r="C11" s="43">
        <f>C9*C10</f>
        <v>1612246263.3333335</v>
      </c>
      <c r="D11" s="43">
        <f t="shared" ref="D11:I11" si="1">D9*D10</f>
        <v>1729940240.5566669</v>
      </c>
      <c r="E11" s="43">
        <f t="shared" si="1"/>
        <v>1809517491.6222734</v>
      </c>
      <c r="F11" s="43">
        <f t="shared" si="1"/>
        <v>1883707708.7787867</v>
      </c>
      <c r="G11" s="43">
        <f>G9*G10</f>
        <v>3308962062.5629621</v>
      </c>
      <c r="H11" s="43">
        <f t="shared" si="1"/>
        <v>3474410165.6911101</v>
      </c>
      <c r="I11" s="44">
        <f t="shared" si="1"/>
        <v>3648130673.9756656</v>
      </c>
    </row>
    <row r="12" spans="2:9" ht="15.75" thickBot="1" x14ac:dyDescent="0.3">
      <c r="B12" s="20" t="s">
        <v>37</v>
      </c>
      <c r="C12" s="21">
        <f>SUM(C8+C11)</f>
        <v>1641151117.3333335</v>
      </c>
      <c r="D12" s="21">
        <f t="shared" ref="D12:I12" si="2">SUM(D8+D11)</f>
        <v>1856697853.0226669</v>
      </c>
      <c r="E12" s="21">
        <f t="shared" si="2"/>
        <v>1940204590.0747194</v>
      </c>
      <c r="F12" s="21">
        <f t="shared" si="2"/>
        <v>2013460412.6114926</v>
      </c>
      <c r="G12" s="21">
        <f>SUM(G8+G11)</f>
        <v>3454580719.5629621</v>
      </c>
      <c r="H12" s="21">
        <f t="shared" si="2"/>
        <v>3622282411.0861101</v>
      </c>
      <c r="I12" s="22">
        <f t="shared" si="2"/>
        <v>3799380968.1041656</v>
      </c>
    </row>
    <row r="13" spans="2:9" s="19" customFormat="1" x14ac:dyDescent="0.25">
      <c r="B13" s="18"/>
      <c r="C13" s="17"/>
      <c r="D13" s="17"/>
      <c r="E13" s="17"/>
      <c r="F13" s="17"/>
      <c r="G13" s="17"/>
      <c r="H13" s="17"/>
      <c r="I13" s="17"/>
    </row>
    <row r="14" spans="2:9" s="19" customFormat="1" ht="15.75" thickBot="1" x14ac:dyDescent="0.3">
      <c r="B14" s="18"/>
      <c r="C14" s="17"/>
      <c r="D14" s="17"/>
      <c r="E14" s="17"/>
      <c r="F14" s="17"/>
      <c r="G14" s="17"/>
      <c r="H14" s="17"/>
      <c r="I14" s="17"/>
    </row>
    <row r="15" spans="2:9" s="19" customFormat="1" ht="15.75" thickBot="1" x14ac:dyDescent="0.3">
      <c r="B15" s="14" t="s">
        <v>42</v>
      </c>
      <c r="C15" s="16" t="s">
        <v>43</v>
      </c>
      <c r="D15" s="16" t="s">
        <v>43</v>
      </c>
      <c r="E15" s="17"/>
      <c r="F15" s="17"/>
      <c r="G15" s="17"/>
      <c r="H15" s="17"/>
      <c r="I15" s="17"/>
    </row>
    <row r="16" spans="2:9" s="19" customFormat="1" ht="30" x14ac:dyDescent="0.25">
      <c r="B16" s="28" t="s">
        <v>52</v>
      </c>
      <c r="C16" s="59">
        <v>99.2</v>
      </c>
      <c r="D16" s="59">
        <v>61</v>
      </c>
      <c r="E16" s="17"/>
      <c r="F16" s="17"/>
      <c r="G16" s="17"/>
      <c r="H16" s="17"/>
      <c r="I16" s="17"/>
    </row>
    <row r="17" spans="2:9" s="19" customFormat="1" ht="30" x14ac:dyDescent="0.25">
      <c r="B17" s="30" t="s">
        <v>50</v>
      </c>
      <c r="C17" s="35">
        <f>$G8/100*(100-C16)</f>
        <v>1164949.2559999959</v>
      </c>
      <c r="D17" s="35">
        <f>$G8/100*(100-D16)</f>
        <v>56791276.230000004</v>
      </c>
      <c r="E17" s="17"/>
      <c r="F17" s="17"/>
      <c r="G17" s="17"/>
      <c r="H17" s="17"/>
      <c r="I17" s="17"/>
    </row>
    <row r="18" spans="2:9" s="19" customFormat="1" x14ac:dyDescent="0.25">
      <c r="B18" s="55" t="s">
        <v>39</v>
      </c>
      <c r="C18" s="54">
        <v>10</v>
      </c>
      <c r="D18" s="54">
        <v>10</v>
      </c>
      <c r="E18" s="17"/>
      <c r="F18" s="17"/>
      <c r="G18" s="17"/>
      <c r="H18" s="17"/>
      <c r="I18" s="17"/>
    </row>
    <row r="19" spans="2:9" s="19" customFormat="1" ht="15.75" thickBot="1" x14ac:dyDescent="0.3">
      <c r="B19" s="60" t="s">
        <v>38</v>
      </c>
      <c r="C19" s="34">
        <f>C17/100*C18</f>
        <v>116494.92559999958</v>
      </c>
      <c r="D19" s="34">
        <f>D17/100*D18</f>
        <v>5679127.6230000006</v>
      </c>
      <c r="E19" s="17"/>
      <c r="F19" s="17"/>
      <c r="G19" s="17"/>
      <c r="H19" s="17"/>
      <c r="I19" s="17"/>
    </row>
    <row r="20" spans="2:9" ht="30" x14ac:dyDescent="0.25">
      <c r="B20" s="63" t="s">
        <v>53</v>
      </c>
      <c r="C20" s="64">
        <v>87</v>
      </c>
      <c r="D20" s="64">
        <v>61</v>
      </c>
    </row>
    <row r="21" spans="2:9" ht="30" x14ac:dyDescent="0.25">
      <c r="B21" s="39" t="s">
        <v>50</v>
      </c>
      <c r="C21" s="41">
        <f>G12/100*(100-C20)</f>
        <v>449095493.54318506</v>
      </c>
      <c r="D21" s="41">
        <f>G12/100*(100-D20)</f>
        <v>1347286480.6295552</v>
      </c>
      <c r="I21" s="13"/>
    </row>
    <row r="22" spans="2:9" x14ac:dyDescent="0.25">
      <c r="B22" s="57" t="s">
        <v>39</v>
      </c>
      <c r="C22" s="56">
        <v>10</v>
      </c>
      <c r="D22" s="56">
        <v>10</v>
      </c>
      <c r="I22" s="13"/>
    </row>
    <row r="23" spans="2:9" ht="15.75" thickBot="1" x14ac:dyDescent="0.3">
      <c r="B23" s="65" t="s">
        <v>38</v>
      </c>
      <c r="C23" s="66">
        <f>C21/100*C22</f>
        <v>44909549.3543185</v>
      </c>
      <c r="D23" s="66">
        <f>D21/100*D22</f>
        <v>134728648.0629555</v>
      </c>
      <c r="I23" s="13"/>
    </row>
    <row r="24" spans="2:9" s="48" customFormat="1" ht="30" x14ac:dyDescent="0.25">
      <c r="B24" s="61" t="s">
        <v>50</v>
      </c>
      <c r="C24" s="62">
        <f>C17+C21</f>
        <v>450260442.79918504</v>
      </c>
      <c r="D24" s="62">
        <f>D17+D21</f>
        <v>1404077756.8595552</v>
      </c>
      <c r="I24" s="49"/>
    </row>
    <row r="25" spans="2:9" s="48" customFormat="1" ht="15.75" thickBot="1" x14ac:dyDescent="0.3">
      <c r="B25" s="58" t="s">
        <v>38</v>
      </c>
      <c r="C25" s="27">
        <f>C19+C23</f>
        <v>45026044.279918499</v>
      </c>
      <c r="D25" s="27">
        <f>D19+D23</f>
        <v>140407775.68595549</v>
      </c>
      <c r="I25" s="49"/>
    </row>
    <row r="26" spans="2:9" s="48" customFormat="1" x14ac:dyDescent="0.25">
      <c r="B26" s="45"/>
      <c r="C26" s="46"/>
      <c r="D26" s="47"/>
      <c r="I26" s="49"/>
    </row>
    <row r="27" spans="2:9" ht="15.75" thickBot="1" x14ac:dyDescent="0.3">
      <c r="I27" s="13"/>
    </row>
    <row r="28" spans="2:9" ht="15.75" thickBot="1" x14ac:dyDescent="0.3">
      <c r="B28" s="14" t="s">
        <v>42</v>
      </c>
      <c r="C28" s="15" t="s">
        <v>43</v>
      </c>
      <c r="D28" s="15" t="s">
        <v>44</v>
      </c>
      <c r="E28" s="15" t="s">
        <v>43</v>
      </c>
      <c r="I28" s="13"/>
    </row>
    <row r="29" spans="2:9" x14ac:dyDescent="0.25">
      <c r="B29" s="23" t="s">
        <v>34</v>
      </c>
      <c r="C29" s="24">
        <f>39799+14482</f>
        <v>54281</v>
      </c>
      <c r="D29" s="50" t="s">
        <v>45</v>
      </c>
      <c r="E29" s="51">
        <f>G7/C29*100</f>
        <v>3.793224148412889</v>
      </c>
    </row>
    <row r="30" spans="2:9" ht="15.75" thickBot="1" x14ac:dyDescent="0.3">
      <c r="B30" s="25" t="s">
        <v>35</v>
      </c>
      <c r="C30" s="26">
        <v>65000</v>
      </c>
      <c r="D30" s="52" t="s">
        <v>46</v>
      </c>
      <c r="E30" s="53">
        <f>G10/C30*100</f>
        <v>30.402658375734976</v>
      </c>
    </row>
  </sheetData>
  <mergeCells count="2">
    <mergeCell ref="B2:I2"/>
    <mergeCell ref="B3:I3"/>
  </mergeCells>
  <pageMargins left="0.25" right="0.25" top="0.75" bottom="0.75" header="0.3" footer="0.3"/>
  <pageSetup paperSize="9" scale="84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R5" sqref="R5"/>
    </sheetView>
  </sheetViews>
  <sheetFormatPr defaultRowHeight="15" x14ac:dyDescent="0.25"/>
  <cols>
    <col min="1" max="1" width="19.85546875" customWidth="1"/>
    <col min="2" max="2" width="14.140625" customWidth="1"/>
    <col min="3" max="3" width="11.85546875" customWidth="1"/>
    <col min="4" max="4" width="12.7109375" customWidth="1"/>
    <col min="5" max="5" width="17.5703125" customWidth="1"/>
    <col min="6" max="8" width="13.85546875" customWidth="1"/>
    <col min="9" max="11" width="12.85546875" customWidth="1"/>
    <col min="12" max="12" width="14.7109375" customWidth="1"/>
    <col min="13" max="13" width="12.85546875" customWidth="1"/>
    <col min="14" max="14" width="17.5703125" style="6" customWidth="1"/>
    <col min="15" max="15" width="17.5703125" customWidth="1"/>
    <col min="18" max="18" width="20.5703125" customWidth="1"/>
  </cols>
  <sheetData>
    <row r="1" spans="1:18" ht="15.75" x14ac:dyDescent="0.25">
      <c r="A1" s="96" t="s">
        <v>28</v>
      </c>
      <c r="B1" s="96"/>
      <c r="C1" s="96"/>
      <c r="D1" s="96"/>
      <c r="E1" s="96"/>
      <c r="F1" s="96"/>
      <c r="G1" s="96"/>
      <c r="H1" s="96"/>
      <c r="I1" s="96"/>
      <c r="J1" s="96"/>
      <c r="K1" s="10"/>
      <c r="L1" s="10"/>
      <c r="M1" s="10"/>
    </row>
    <row r="2" spans="1:18" ht="15.7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7"/>
      <c r="O2" s="5"/>
    </row>
    <row r="3" spans="1:18" ht="16.5" thickBot="1" x14ac:dyDescent="0.3">
      <c r="A3" s="99" t="s">
        <v>6</v>
      </c>
      <c r="B3" s="99" t="s">
        <v>7</v>
      </c>
      <c r="C3" s="99" t="s">
        <v>8</v>
      </c>
      <c r="D3" s="99" t="s">
        <v>9</v>
      </c>
      <c r="E3" s="98" t="s">
        <v>10</v>
      </c>
      <c r="F3" s="98" t="s">
        <v>11</v>
      </c>
      <c r="G3" s="98"/>
      <c r="H3" s="98"/>
      <c r="I3" s="98"/>
      <c r="J3" s="98"/>
      <c r="K3" s="11"/>
      <c r="L3" s="11"/>
      <c r="M3" s="11"/>
      <c r="N3" s="97" t="s">
        <v>29</v>
      </c>
      <c r="O3" s="98" t="s">
        <v>30</v>
      </c>
    </row>
    <row r="4" spans="1:18" ht="63" x14ac:dyDescent="0.25">
      <c r="A4" s="100"/>
      <c r="B4" s="100"/>
      <c r="C4" s="100"/>
      <c r="D4" s="100"/>
      <c r="E4" s="98"/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11"/>
      <c r="L4" s="2" t="s">
        <v>33</v>
      </c>
      <c r="M4" s="11"/>
      <c r="N4" s="97" t="s">
        <v>29</v>
      </c>
      <c r="O4" s="98"/>
      <c r="R4" s="69" t="s">
        <v>40</v>
      </c>
    </row>
    <row r="5" spans="1:18" ht="32.25" thickBot="1" x14ac:dyDescent="0.3">
      <c r="A5" s="3" t="s">
        <v>17</v>
      </c>
      <c r="B5" s="3" t="s">
        <v>18</v>
      </c>
      <c r="C5" s="3" t="s">
        <v>19</v>
      </c>
      <c r="D5" s="3" t="s">
        <v>20</v>
      </c>
      <c r="E5" s="4" t="s">
        <v>21</v>
      </c>
      <c r="F5" s="2">
        <v>240</v>
      </c>
      <c r="G5" s="2">
        <v>253</v>
      </c>
      <c r="H5" s="2">
        <v>238</v>
      </c>
      <c r="I5" s="2">
        <v>238</v>
      </c>
      <c r="J5" s="2">
        <v>238</v>
      </c>
      <c r="K5" s="11"/>
      <c r="L5" s="2">
        <v>60</v>
      </c>
      <c r="M5" s="11"/>
      <c r="N5" s="8">
        <v>65968</v>
      </c>
      <c r="O5" s="8">
        <f t="shared" ref="O5:O12" si="0">L5*N5</f>
        <v>3958080</v>
      </c>
      <c r="R5" s="70">
        <f>AVERAGE(R6:R19)</f>
        <v>86364.166666666672</v>
      </c>
    </row>
    <row r="6" spans="1:18" ht="31.5" x14ac:dyDescent="0.25">
      <c r="A6" s="3" t="s">
        <v>22</v>
      </c>
      <c r="B6" s="3" t="s">
        <v>18</v>
      </c>
      <c r="C6" s="3" t="s">
        <v>19</v>
      </c>
      <c r="D6" s="3" t="s">
        <v>20</v>
      </c>
      <c r="E6" s="4" t="s">
        <v>21</v>
      </c>
      <c r="F6" s="2">
        <v>302</v>
      </c>
      <c r="G6" s="2">
        <v>226</v>
      </c>
      <c r="H6" s="2">
        <v>199</v>
      </c>
      <c r="I6" s="2">
        <v>199</v>
      </c>
      <c r="J6" s="2">
        <v>199</v>
      </c>
      <c r="K6" s="11"/>
      <c r="L6" s="2">
        <v>63</v>
      </c>
      <c r="M6" s="11"/>
      <c r="N6" s="8">
        <v>51961</v>
      </c>
      <c r="O6" s="8">
        <f t="shared" si="0"/>
        <v>3273543</v>
      </c>
      <c r="R6" s="68">
        <v>67440</v>
      </c>
    </row>
    <row r="7" spans="1:18" ht="31.5" x14ac:dyDescent="0.25">
      <c r="A7" s="3" t="s">
        <v>22</v>
      </c>
      <c r="B7" s="3" t="s">
        <v>18</v>
      </c>
      <c r="C7" s="3" t="s">
        <v>23</v>
      </c>
      <c r="D7" s="3" t="s">
        <v>20</v>
      </c>
      <c r="E7" s="4" t="s">
        <v>21</v>
      </c>
      <c r="F7" s="2">
        <v>121</v>
      </c>
      <c r="G7" s="2">
        <v>40</v>
      </c>
      <c r="H7" s="2">
        <v>0</v>
      </c>
      <c r="I7" s="2">
        <v>0</v>
      </c>
      <c r="J7" s="2">
        <v>0</v>
      </c>
      <c r="K7" s="11"/>
      <c r="L7" s="2"/>
      <c r="M7" s="11"/>
      <c r="N7" s="8">
        <v>27000</v>
      </c>
      <c r="O7" s="8">
        <f t="shared" si="0"/>
        <v>0</v>
      </c>
      <c r="R7" s="67">
        <v>126000</v>
      </c>
    </row>
    <row r="8" spans="1:18" ht="31.5" x14ac:dyDescent="0.25">
      <c r="A8" s="3" t="s">
        <v>24</v>
      </c>
      <c r="B8" s="3" t="s">
        <v>25</v>
      </c>
      <c r="C8" s="3" t="s">
        <v>19</v>
      </c>
      <c r="D8" s="3" t="s">
        <v>20</v>
      </c>
      <c r="E8" s="4" t="s">
        <v>21</v>
      </c>
      <c r="F8" s="2">
        <v>85</v>
      </c>
      <c r="G8" s="2">
        <v>146</v>
      </c>
      <c r="H8" s="2">
        <v>196</v>
      </c>
      <c r="I8" s="2">
        <v>196</v>
      </c>
      <c r="J8" s="2">
        <v>196</v>
      </c>
      <c r="K8" s="11"/>
      <c r="L8" s="2">
        <v>67</v>
      </c>
      <c r="M8" s="11"/>
      <c r="N8" s="8">
        <v>51961</v>
      </c>
      <c r="O8" s="8">
        <f t="shared" si="0"/>
        <v>3481387</v>
      </c>
      <c r="R8" s="67">
        <v>66060</v>
      </c>
    </row>
    <row r="9" spans="1:18" ht="31.5" x14ac:dyDescent="0.25">
      <c r="A9" s="3" t="s">
        <v>22</v>
      </c>
      <c r="B9" s="3" t="s">
        <v>25</v>
      </c>
      <c r="C9" s="3" t="s">
        <v>19</v>
      </c>
      <c r="D9" s="3" t="s">
        <v>20</v>
      </c>
      <c r="E9" s="4" t="s">
        <v>21</v>
      </c>
      <c r="F9" s="2">
        <v>356</v>
      </c>
      <c r="G9" s="2">
        <v>578</v>
      </c>
      <c r="H9" s="2">
        <v>764</v>
      </c>
      <c r="I9" s="2">
        <v>764</v>
      </c>
      <c r="J9" s="2">
        <v>764</v>
      </c>
      <c r="K9" s="11"/>
      <c r="L9" s="2">
        <v>253</v>
      </c>
      <c r="M9" s="11"/>
      <c r="N9" s="8">
        <v>51961</v>
      </c>
      <c r="O9" s="8">
        <f t="shared" si="0"/>
        <v>13146133</v>
      </c>
      <c r="R9" s="67">
        <v>125844</v>
      </c>
    </row>
    <row r="10" spans="1:18" ht="31.5" x14ac:dyDescent="0.25">
      <c r="A10" s="3" t="s">
        <v>24</v>
      </c>
      <c r="B10" s="3" t="s">
        <v>18</v>
      </c>
      <c r="C10" s="3" t="s">
        <v>19</v>
      </c>
      <c r="D10" s="3" t="s">
        <v>20</v>
      </c>
      <c r="E10" s="4" t="s">
        <v>21</v>
      </c>
      <c r="F10" s="2">
        <v>85</v>
      </c>
      <c r="G10" s="2">
        <v>84</v>
      </c>
      <c r="H10" s="2">
        <v>80</v>
      </c>
      <c r="I10" s="2">
        <v>80</v>
      </c>
      <c r="J10" s="2">
        <v>80</v>
      </c>
      <c r="K10" s="11"/>
      <c r="L10" s="2">
        <v>27</v>
      </c>
      <c r="M10" s="11"/>
      <c r="N10" s="8">
        <v>51961</v>
      </c>
      <c r="O10" s="8">
        <f t="shared" si="0"/>
        <v>1402947</v>
      </c>
      <c r="R10" s="67">
        <v>45050</v>
      </c>
    </row>
    <row r="11" spans="1:18" ht="31.5" x14ac:dyDescent="0.25">
      <c r="A11" s="3" t="s">
        <v>26</v>
      </c>
      <c r="B11" s="3" t="s">
        <v>18</v>
      </c>
      <c r="C11" s="3" t="s">
        <v>19</v>
      </c>
      <c r="D11" s="3" t="s">
        <v>20</v>
      </c>
      <c r="E11" s="4" t="s">
        <v>21</v>
      </c>
      <c r="F11" s="2">
        <v>77</v>
      </c>
      <c r="G11" s="2">
        <v>78</v>
      </c>
      <c r="H11" s="2">
        <v>77</v>
      </c>
      <c r="I11" s="2">
        <v>77</v>
      </c>
      <c r="J11" s="2">
        <v>77</v>
      </c>
      <c r="K11" s="11"/>
      <c r="L11" s="2">
        <v>29</v>
      </c>
      <c r="M11" s="11"/>
      <c r="N11" s="8">
        <v>63166</v>
      </c>
      <c r="O11" s="8">
        <f t="shared" si="0"/>
        <v>1831814</v>
      </c>
      <c r="R11" s="67">
        <v>125856</v>
      </c>
    </row>
    <row r="12" spans="1:18" ht="31.5" x14ac:dyDescent="0.25">
      <c r="A12" s="3" t="s">
        <v>27</v>
      </c>
      <c r="B12" s="3" t="s">
        <v>18</v>
      </c>
      <c r="C12" s="3" t="s">
        <v>19</v>
      </c>
      <c r="D12" s="3" t="s">
        <v>20</v>
      </c>
      <c r="E12" s="4" t="s">
        <v>21</v>
      </c>
      <c r="F12" s="2">
        <v>77</v>
      </c>
      <c r="G12" s="2">
        <v>78</v>
      </c>
      <c r="H12" s="2">
        <v>80</v>
      </c>
      <c r="I12" s="2">
        <v>80</v>
      </c>
      <c r="J12" s="2">
        <v>80</v>
      </c>
      <c r="K12" s="11"/>
      <c r="L12" s="2">
        <v>30</v>
      </c>
      <c r="M12" s="11"/>
      <c r="N12" s="8">
        <v>60365</v>
      </c>
      <c r="O12" s="8">
        <f t="shared" si="0"/>
        <v>1810950</v>
      </c>
      <c r="R12" s="67">
        <v>29820</v>
      </c>
    </row>
    <row r="13" spans="1:18" ht="15.75" x14ac:dyDescent="0.25">
      <c r="O13" s="9">
        <f>SUM(O5:O12)</f>
        <v>28904854</v>
      </c>
      <c r="R13" s="67">
        <v>106716</v>
      </c>
    </row>
    <row r="14" spans="1:18" x14ac:dyDescent="0.25">
      <c r="R14" s="67">
        <v>22584</v>
      </c>
    </row>
    <row r="15" spans="1:18" x14ac:dyDescent="0.25">
      <c r="K15" s="12" t="s">
        <v>31</v>
      </c>
      <c r="L15">
        <f>SUM(L5:L12)</f>
        <v>529</v>
      </c>
      <c r="N15" s="6" t="s">
        <v>32</v>
      </c>
      <c r="O15">
        <f>O13/L15</f>
        <v>54640.555765595462</v>
      </c>
      <c r="R15" s="67">
        <v>106200</v>
      </c>
    </row>
    <row r="16" spans="1:18" x14ac:dyDescent="0.25">
      <c r="R16" s="67">
        <v>70800</v>
      </c>
    </row>
    <row r="17" spans="2:18" x14ac:dyDescent="0.25">
      <c r="R17" s="67">
        <v>144000</v>
      </c>
    </row>
    <row r="19" spans="2:18" x14ac:dyDescent="0.25">
      <c r="B19" t="s">
        <v>51</v>
      </c>
    </row>
  </sheetData>
  <mergeCells count="9">
    <mergeCell ref="A1:J1"/>
    <mergeCell ref="N3:N4"/>
    <mergeCell ref="O3:O4"/>
    <mergeCell ref="A3:A4"/>
    <mergeCell ref="B3:B4"/>
    <mergeCell ref="C3:C4"/>
    <mergeCell ref="D3:D4"/>
    <mergeCell ref="E3:E4"/>
    <mergeCell ref="F3:J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C27" sqref="C27"/>
    </sheetView>
  </sheetViews>
  <sheetFormatPr defaultRowHeight="15" x14ac:dyDescent="0.25"/>
  <cols>
    <col min="1" max="1" width="55.85546875" customWidth="1"/>
    <col min="2" max="2" width="31.85546875" customWidth="1"/>
    <col min="3" max="3" width="32" customWidth="1"/>
    <col min="4" max="4" width="47.85546875" customWidth="1"/>
    <col min="5" max="5" width="12.5703125" customWidth="1"/>
    <col min="6" max="6" width="12.140625" customWidth="1"/>
  </cols>
  <sheetData>
    <row r="1" spans="1:5" ht="54.75" customHeight="1" x14ac:dyDescent="0.25">
      <c r="A1" s="85"/>
      <c r="B1" s="86" t="s">
        <v>65</v>
      </c>
      <c r="C1" s="87" t="s">
        <v>67</v>
      </c>
    </row>
    <row r="2" spans="1:5" ht="30" x14ac:dyDescent="0.25">
      <c r="A2" s="76" t="s">
        <v>56</v>
      </c>
      <c r="B2" s="88">
        <v>87754</v>
      </c>
      <c r="C2" s="89">
        <v>75</v>
      </c>
    </row>
    <row r="3" spans="1:5" ht="30" x14ac:dyDescent="0.25">
      <c r="A3" s="76" t="s">
        <v>57</v>
      </c>
      <c r="B3" s="88">
        <v>83942</v>
      </c>
      <c r="C3" s="89">
        <v>25</v>
      </c>
    </row>
    <row r="4" spans="1:5" ht="30" x14ac:dyDescent="0.25">
      <c r="A4" s="76" t="s">
        <v>58</v>
      </c>
      <c r="B4" s="88">
        <v>83146</v>
      </c>
      <c r="C4" s="89">
        <v>25</v>
      </c>
    </row>
    <row r="5" spans="1:5" ht="30" x14ac:dyDescent="0.25">
      <c r="A5" s="76" t="s">
        <v>59</v>
      </c>
      <c r="B5" s="88">
        <v>72511</v>
      </c>
      <c r="C5" s="89">
        <v>0</v>
      </c>
    </row>
    <row r="6" spans="1:5" ht="30" x14ac:dyDescent="0.25">
      <c r="A6" s="76" t="s">
        <v>60</v>
      </c>
      <c r="B6" s="88">
        <v>68701</v>
      </c>
      <c r="C6" s="89">
        <v>30</v>
      </c>
    </row>
    <row r="7" spans="1:5" x14ac:dyDescent="0.25">
      <c r="A7" s="76" t="s">
        <v>61</v>
      </c>
      <c r="B7" s="88">
        <v>68701</v>
      </c>
      <c r="C7" s="89">
        <v>60</v>
      </c>
    </row>
    <row r="8" spans="1:5" ht="30" x14ac:dyDescent="0.25">
      <c r="A8" s="76" t="s">
        <v>62</v>
      </c>
      <c r="B8" s="88">
        <v>68701</v>
      </c>
      <c r="C8" s="89">
        <v>60</v>
      </c>
    </row>
    <row r="9" spans="1:5" x14ac:dyDescent="0.25">
      <c r="A9" s="76" t="s">
        <v>63</v>
      </c>
      <c r="B9" s="88">
        <v>68701</v>
      </c>
      <c r="C9" s="89">
        <v>350</v>
      </c>
    </row>
    <row r="10" spans="1:5" x14ac:dyDescent="0.25">
      <c r="A10" s="76" t="s">
        <v>64</v>
      </c>
      <c r="B10" s="88">
        <v>34350</v>
      </c>
      <c r="C10" s="89">
        <v>0</v>
      </c>
    </row>
    <row r="11" spans="1:5" ht="15.75" thickBot="1" x14ac:dyDescent="0.3">
      <c r="A11" s="91"/>
      <c r="B11" s="90">
        <f>AVERAGE(B2:B10)</f>
        <v>70723</v>
      </c>
      <c r="C11" s="92">
        <f>SUM(C2:C10)</f>
        <v>625</v>
      </c>
      <c r="D11">
        <f>C11*3</f>
        <v>1875</v>
      </c>
    </row>
    <row r="13" spans="1:5" ht="15.75" thickBot="1" x14ac:dyDescent="0.3">
      <c r="A13" s="71"/>
    </row>
    <row r="14" spans="1:5" x14ac:dyDescent="0.25">
      <c r="A14" s="101" t="s">
        <v>88</v>
      </c>
      <c r="B14" s="102"/>
      <c r="C14" s="102"/>
      <c r="D14" s="102"/>
      <c r="E14" s="103"/>
    </row>
    <row r="15" spans="1:5" x14ac:dyDescent="0.25">
      <c r="A15" s="104"/>
      <c r="B15" s="105"/>
      <c r="C15" s="105"/>
      <c r="D15" s="105"/>
      <c r="E15" s="106"/>
    </row>
    <row r="16" spans="1:5" x14ac:dyDescent="0.25">
      <c r="A16" s="73"/>
      <c r="B16" s="19"/>
      <c r="C16" s="19"/>
      <c r="D16" s="19"/>
      <c r="E16" s="74"/>
    </row>
    <row r="17" spans="1:5" x14ac:dyDescent="0.25">
      <c r="A17" s="75"/>
      <c r="B17" s="19"/>
      <c r="C17" s="19"/>
      <c r="D17" s="19"/>
      <c r="E17" s="74"/>
    </row>
    <row r="18" spans="1:5" ht="30" x14ac:dyDescent="0.25">
      <c r="A18" s="83" t="s">
        <v>89</v>
      </c>
      <c r="B18" s="83" t="s">
        <v>87</v>
      </c>
      <c r="C18" s="19"/>
      <c r="D18" s="82" t="s">
        <v>90</v>
      </c>
      <c r="E18" s="81">
        <v>12049</v>
      </c>
    </row>
    <row r="19" spans="1:5" ht="30" x14ac:dyDescent="0.25">
      <c r="A19" s="76" t="s">
        <v>68</v>
      </c>
      <c r="B19" s="80">
        <f>(145500+128592+155040+294120+190080+379740+190080+488100+145500+201780+201780+201780)/12</f>
        <v>226841</v>
      </c>
      <c r="C19" s="19"/>
      <c r="D19" s="82" t="s">
        <v>91</v>
      </c>
      <c r="E19" s="81">
        <v>5345</v>
      </c>
    </row>
    <row r="20" spans="1:5" ht="30" x14ac:dyDescent="0.25">
      <c r="A20" s="76" t="s">
        <v>69</v>
      </c>
      <c r="B20" s="80">
        <f>(145500+145500+177864+145500+155040+190080+169200+169200+177864+174060+294120+190080+294120)/13</f>
        <v>186779.07692307694</v>
      </c>
      <c r="C20" s="19"/>
      <c r="D20" s="82" t="s">
        <v>92</v>
      </c>
      <c r="E20" s="81">
        <v>44548</v>
      </c>
    </row>
    <row r="21" spans="1:5" ht="45" x14ac:dyDescent="0.25">
      <c r="A21" s="76" t="s">
        <v>70</v>
      </c>
      <c r="B21" s="80">
        <f>(169200+169200+177864+174060+294120+190080+294120)/7</f>
        <v>209806.28571428571</v>
      </c>
      <c r="C21" s="19"/>
      <c r="D21" s="82" t="s">
        <v>93</v>
      </c>
      <c r="E21" s="84">
        <f>E20*E19/E18</f>
        <v>19761.727944227736</v>
      </c>
    </row>
    <row r="22" spans="1:5" x14ac:dyDescent="0.25">
      <c r="A22" s="76" t="s">
        <v>71</v>
      </c>
      <c r="B22" s="80">
        <f>(127680+127680+167880+201780+128592+127680+127680+136980+132000+127680+127680+138180+167880+272220+138180+212400+138180)/17</f>
        <v>152961.88235294117</v>
      </c>
      <c r="C22" s="19"/>
      <c r="D22" s="72"/>
      <c r="E22" s="74"/>
    </row>
    <row r="23" spans="1:5" x14ac:dyDescent="0.25">
      <c r="A23" s="76" t="s">
        <v>72</v>
      </c>
      <c r="B23" s="80">
        <f>(127680+127680+128592+127680+145500+138180+138180+272220+138180)/9</f>
        <v>149321.33333333334</v>
      </c>
      <c r="C23" s="19"/>
      <c r="D23" s="72"/>
      <c r="E23" s="74"/>
    </row>
    <row r="24" spans="1:5" x14ac:dyDescent="0.25">
      <c r="A24" s="76" t="s">
        <v>73</v>
      </c>
      <c r="B24" s="80">
        <f>(145500+145500+201780+177864+145500+156720+128592+156720+155040+155040+190080+155040+145500+156720)/14</f>
        <v>158256.85714285713</v>
      </c>
      <c r="C24" s="19"/>
      <c r="D24" s="19"/>
      <c r="E24" s="74"/>
    </row>
    <row r="25" spans="1:5" x14ac:dyDescent="0.25">
      <c r="A25" s="76" t="s">
        <v>74</v>
      </c>
      <c r="B25" s="80">
        <f>(145500+127680+155040+145500+172440+128592+127680+182220+210000+150000+150000)/11</f>
        <v>154059.27272727274</v>
      </c>
      <c r="C25" s="19"/>
      <c r="D25" s="19"/>
      <c r="E25" s="74"/>
    </row>
    <row r="26" spans="1:5" ht="14.25" customHeight="1" x14ac:dyDescent="0.25">
      <c r="A26" s="76" t="s">
        <v>76</v>
      </c>
      <c r="B26" s="80">
        <f>(172440+128592+127680+182220+210000+150000+150000)/7</f>
        <v>160133.14285714287</v>
      </c>
      <c r="C26" s="19"/>
      <c r="D26" s="19"/>
      <c r="E26" s="74"/>
    </row>
    <row r="27" spans="1:5" ht="30" x14ac:dyDescent="0.25">
      <c r="A27" s="76" t="s">
        <v>75</v>
      </c>
      <c r="B27" s="80">
        <f>(127680+156720+127680+156720+156720+141960+145500+138180+272220+156720+164880+138180+138180+156720+156720+164880)/16</f>
        <v>156228.75</v>
      </c>
      <c r="C27" s="19"/>
      <c r="D27" s="19"/>
      <c r="E27" s="74"/>
    </row>
    <row r="28" spans="1:5" x14ac:dyDescent="0.25">
      <c r="A28" s="76" t="s">
        <v>77</v>
      </c>
      <c r="B28" s="80">
        <f>(127680+127680+128592+127680+251100+127680+127680+138180+138180)/9</f>
        <v>143828</v>
      </c>
      <c r="C28" s="19"/>
      <c r="D28" s="19"/>
      <c r="E28" s="74"/>
    </row>
    <row r="29" spans="1:5" ht="30" x14ac:dyDescent="0.25">
      <c r="A29" s="76" t="s">
        <v>79</v>
      </c>
      <c r="B29" s="80">
        <f>(141960*3+127680+141960+127680*3+141960+127680+152400+138180+152400+138180*3+152400+138180)/18</f>
        <v>138683.33333333334</v>
      </c>
      <c r="C29" s="19"/>
      <c r="D29" s="19"/>
      <c r="E29" s="74"/>
    </row>
    <row r="30" spans="1:5" x14ac:dyDescent="0.25">
      <c r="A30" s="76" t="s">
        <v>78</v>
      </c>
      <c r="B30" s="80">
        <f>(128592+127680*3+141960+138180+152400+138180+138180+141960)/10</f>
        <v>136249.20000000001</v>
      </c>
      <c r="C30" s="19"/>
      <c r="D30" s="19"/>
      <c r="E30" s="74"/>
    </row>
    <row r="31" spans="1:5" x14ac:dyDescent="0.25">
      <c r="A31" s="76" t="s">
        <v>80</v>
      </c>
      <c r="B31" s="80">
        <f>(172440*2+127680+156720+127680+196140+156720+127680+132000+145500+127680+145500*3+127680+127680+128592+182220+199200+138180+174060+150000+227400+138180+174060+138180+155040+155040+165000+138180+148200)/31</f>
        <v>153099.09677419355</v>
      </c>
      <c r="C31" s="19"/>
      <c r="D31" s="19"/>
      <c r="E31" s="74"/>
    </row>
    <row r="32" spans="1:5" ht="30" x14ac:dyDescent="0.25">
      <c r="A32" s="76" t="s">
        <v>81</v>
      </c>
      <c r="B32" s="80">
        <f>(145500+294120+156720)/3</f>
        <v>198780</v>
      </c>
      <c r="C32" s="19"/>
      <c r="D32" s="19"/>
      <c r="E32" s="74"/>
    </row>
    <row r="33" spans="1:5" x14ac:dyDescent="0.25">
      <c r="A33" s="76" t="s">
        <v>82</v>
      </c>
      <c r="B33" s="80">
        <f>(145500+201780+164880+155040+212400)/5</f>
        <v>175920</v>
      </c>
      <c r="C33" s="19"/>
      <c r="D33" s="19"/>
      <c r="E33" s="74"/>
    </row>
    <row r="34" spans="1:5" x14ac:dyDescent="0.25">
      <c r="A34" s="76" t="s">
        <v>83</v>
      </c>
      <c r="B34" s="80">
        <f>(182220+174060)/2</f>
        <v>178140</v>
      </c>
      <c r="C34" s="19"/>
      <c r="D34" s="19"/>
      <c r="E34" s="74"/>
    </row>
    <row r="35" spans="1:5" x14ac:dyDescent="0.25">
      <c r="A35" s="76" t="s">
        <v>84</v>
      </c>
      <c r="B35" s="80">
        <f>(145500+127680*2+145500+128592+127680+127680+127680+145500+127680+138180)/11</f>
        <v>133577.45454545456</v>
      </c>
      <c r="C35" s="19"/>
      <c r="D35" s="19"/>
      <c r="E35" s="74"/>
    </row>
    <row r="36" spans="1:5" x14ac:dyDescent="0.25">
      <c r="A36" s="76" t="s">
        <v>86</v>
      </c>
      <c r="B36" s="80">
        <f>(127680*2+145500*26+201780*2+145500*2+177864*2+145500*10+141960*2+127680*12+251100*2+155040*19+138180*2+145500*2+127680*6)/89</f>
        <v>147653.1235955056</v>
      </c>
      <c r="C36" s="19"/>
      <c r="D36" s="19"/>
      <c r="E36" s="74"/>
    </row>
    <row r="37" spans="1:5" ht="15.75" thickBot="1" x14ac:dyDescent="0.3">
      <c r="A37" s="77"/>
      <c r="B37" s="93">
        <f>AVERAGE(B19:B34)</f>
        <v>167442.9519474023</v>
      </c>
      <c r="C37" s="78"/>
      <c r="D37" s="78"/>
      <c r="E37" s="79"/>
    </row>
  </sheetData>
  <mergeCells count="1">
    <mergeCell ref="A14:E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Кадры</vt:lpstr>
      <vt:lpstr>Лист 1</vt:lpstr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Багаутдинова</dc:creator>
  <cp:lastModifiedBy>Сюмбель Мубинова</cp:lastModifiedBy>
  <cp:lastPrinted>2016-06-01T07:22:12Z</cp:lastPrinted>
  <dcterms:created xsi:type="dcterms:W3CDTF">2016-05-18T06:56:15Z</dcterms:created>
  <dcterms:modified xsi:type="dcterms:W3CDTF">2020-01-27T12:11:31Z</dcterms:modified>
</cp:coreProperties>
</file>