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/>
  <mc:AlternateContent xmlns:mc="http://schemas.openxmlformats.org/markup-compatibility/2006">
    <mc:Choice Requires="x15">
      <x15ac:absPath xmlns:x15ac="http://schemas.microsoft.com/office/spreadsheetml/2010/11/ac" url="\\xlam\socio\LARISA\транзит_К\Ситуационный центр\2020 год\"/>
    </mc:Choice>
  </mc:AlternateContent>
  <xr:revisionPtr revIDLastSave="0" documentId="13_ncr:1_{8CFEEF47-8DB6-4960-BAD5-1A6E2C37E64E}" xr6:coauthVersionLast="36" xr6:coauthVersionMax="36" xr10:uidLastSave="{00000000-0000-0000-0000-000000000000}"/>
  <bookViews>
    <workbookView xWindow="0" yWindow="0" windowWidth="24000" windowHeight="8175" xr2:uid="{00000000-000D-0000-FFFF-FFFF00000000}"/>
  </bookViews>
  <sheets>
    <sheet name="Лист1" sheetId="1" r:id="rId1"/>
  </sheets>
  <definedNames>
    <definedName name="_xlnm.Print_Area" localSheetId="0">Лист1!$A$1:$K$46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J36" i="1"/>
  <c r="J31" i="1"/>
  <c r="H46" i="1"/>
  <c r="J38" i="1"/>
  <c r="H32" i="1"/>
  <c r="D22" i="1" l="1"/>
  <c r="G6" i="1"/>
  <c r="G11" i="1"/>
  <c r="H6" i="1"/>
  <c r="H9" i="1" s="1"/>
  <c r="J7" i="1"/>
  <c r="I7" i="1"/>
  <c r="H7" i="1"/>
  <c r="W9" i="1"/>
  <c r="U9" i="1"/>
  <c r="V9" i="1"/>
  <c r="T9" i="1"/>
  <c r="S9" i="1"/>
  <c r="R9" i="1"/>
  <c r="G7" i="1"/>
  <c r="X9" i="1" l="1"/>
  <c r="J5" i="1"/>
  <c r="O9" i="1"/>
  <c r="T5" i="1"/>
  <c r="V5" i="1"/>
  <c r="S5" i="1"/>
  <c r="E6" i="1"/>
  <c r="F5" i="1"/>
  <c r="U5" i="1" s="1"/>
  <c r="H5" i="1" s="1"/>
  <c r="H13" i="1"/>
  <c r="F13" i="1"/>
  <c r="G13" i="1"/>
  <c r="W5" i="1" l="1"/>
  <c r="I5" i="1" s="1"/>
  <c r="F6" i="1"/>
  <c r="X5" i="1" l="1"/>
  <c r="J6" i="1" l="1"/>
  <c r="J9" i="1" s="1"/>
  <c r="J11" i="1" l="1"/>
  <c r="J10" i="1"/>
  <c r="C14" i="1" l="1"/>
  <c r="D33" i="1"/>
  <c r="D32" i="1"/>
  <c r="I46" i="1" l="1"/>
  <c r="J46" i="1" s="1"/>
  <c r="D35" i="1"/>
  <c r="E35" i="1" s="1"/>
  <c r="F35" i="1" s="1"/>
  <c r="G35" i="1" s="1"/>
  <c r="H35" i="1" s="1"/>
  <c r="I35" i="1" s="1"/>
  <c r="J35" i="1" s="1"/>
  <c r="D34" i="1"/>
  <c r="E34" i="1" s="1"/>
  <c r="F34" i="1" s="1"/>
  <c r="G34" i="1" s="1"/>
  <c r="H34" i="1" s="1"/>
  <c r="I34" i="1" s="1"/>
  <c r="J34" i="1" s="1"/>
  <c r="E33" i="1"/>
  <c r="E32" i="1"/>
  <c r="F32" i="1" s="1"/>
  <c r="C31" i="1"/>
  <c r="C36" i="1" s="1"/>
  <c r="D26" i="1"/>
  <c r="E26" i="1" s="1"/>
  <c r="F26" i="1" s="1"/>
  <c r="G26" i="1" s="1"/>
  <c r="H26" i="1" s="1"/>
  <c r="I26" i="1" s="1"/>
  <c r="J26" i="1" s="1"/>
  <c r="D25" i="1"/>
  <c r="E25" i="1" s="1"/>
  <c r="F25" i="1" s="1"/>
  <c r="G25" i="1" s="1"/>
  <c r="H25" i="1" s="1"/>
  <c r="I25" i="1" s="1"/>
  <c r="J25" i="1" s="1"/>
  <c r="D24" i="1"/>
  <c r="E24" i="1" s="1"/>
  <c r="F24" i="1" s="1"/>
  <c r="G24" i="1" s="1"/>
  <c r="H24" i="1" s="1"/>
  <c r="I24" i="1" s="1"/>
  <c r="J24" i="1" s="1"/>
  <c r="D23" i="1"/>
  <c r="E23" i="1" s="1"/>
  <c r="F23" i="1" s="1"/>
  <c r="G23" i="1" s="1"/>
  <c r="H23" i="1" s="1"/>
  <c r="I23" i="1" s="1"/>
  <c r="J23" i="1" s="1"/>
  <c r="C22" i="1"/>
  <c r="D14" i="1"/>
  <c r="E14" i="1" s="1"/>
  <c r="F14" i="1" s="1"/>
  <c r="G14" i="1" s="1"/>
  <c r="H14" i="1" s="1"/>
  <c r="I14" i="1" s="1"/>
  <c r="J14" i="1" s="1"/>
  <c r="C15" i="1"/>
  <c r="I13" i="1"/>
  <c r="J13" i="1" s="1"/>
  <c r="C11" i="1"/>
  <c r="C17" i="1" s="1"/>
  <c r="C10" i="1"/>
  <c r="C16" i="1" s="1"/>
  <c r="Q9" i="1"/>
  <c r="P9" i="1"/>
  <c r="H11" i="1"/>
  <c r="D6" i="1"/>
  <c r="J15" i="1" l="1"/>
  <c r="J17" i="1"/>
  <c r="J16" i="1"/>
  <c r="H17" i="1"/>
  <c r="D31" i="1"/>
  <c r="D36" i="1" s="1"/>
  <c r="G32" i="1"/>
  <c r="H15" i="1"/>
  <c r="F33" i="1"/>
  <c r="G33" i="1" s="1"/>
  <c r="H33" i="1" s="1"/>
  <c r="I33" i="1" s="1"/>
  <c r="J33" i="1" s="1"/>
  <c r="E31" i="1"/>
  <c r="E36" i="1" s="1"/>
  <c r="I6" i="1"/>
  <c r="F9" i="1"/>
  <c r="H10" i="1"/>
  <c r="H16" i="1" s="1"/>
  <c r="C21" i="1"/>
  <c r="C19" i="1" s="1"/>
  <c r="D9" i="1"/>
  <c r="C39" i="1" l="1"/>
  <c r="C43" i="1" s="1"/>
  <c r="D19" i="1"/>
  <c r="C37" i="1"/>
  <c r="C41" i="1" s="1"/>
  <c r="C45" i="1" s="1"/>
  <c r="C38" i="1"/>
  <c r="C42" i="1" s="1"/>
  <c r="G31" i="1"/>
  <c r="G36" i="1" s="1"/>
  <c r="E22" i="1"/>
  <c r="D21" i="1"/>
  <c r="F11" i="1"/>
  <c r="F17" i="1" s="1"/>
  <c r="F10" i="1"/>
  <c r="F16" i="1" s="1"/>
  <c r="F15" i="1"/>
  <c r="E9" i="1"/>
  <c r="F31" i="1"/>
  <c r="F36" i="1" s="1"/>
  <c r="G10" i="1"/>
  <c r="G16" i="1" s="1"/>
  <c r="G17" i="1"/>
  <c r="G15" i="1"/>
  <c r="D11" i="1"/>
  <c r="D17" i="1" s="1"/>
  <c r="D10" i="1"/>
  <c r="D16" i="1" s="1"/>
  <c r="I9" i="1"/>
  <c r="D15" i="1"/>
  <c r="F22" i="1" l="1"/>
  <c r="E21" i="1"/>
  <c r="I10" i="1"/>
  <c r="I16" i="1" s="1"/>
  <c r="I11" i="1"/>
  <c r="I17" i="1" s="1"/>
  <c r="I15" i="1"/>
  <c r="I32" i="1"/>
  <c r="H31" i="1"/>
  <c r="H36" i="1" s="1"/>
  <c r="D37" i="1"/>
  <c r="D41" i="1" s="1"/>
  <c r="D45" i="1" s="1"/>
  <c r="D38" i="1"/>
  <c r="D42" i="1" s="1"/>
  <c r="D39" i="1"/>
  <c r="D43" i="1" s="1"/>
  <c r="E19" i="1"/>
  <c r="E10" i="1"/>
  <c r="E16" i="1" s="1"/>
  <c r="E11" i="1"/>
  <c r="E17" i="1" s="1"/>
  <c r="E15" i="1"/>
  <c r="I31" i="1" l="1"/>
  <c r="I36" i="1" s="1"/>
  <c r="J32" i="1"/>
  <c r="E37" i="1"/>
  <c r="E41" i="1" s="1"/>
  <c r="E45" i="1" s="1"/>
  <c r="E38" i="1"/>
  <c r="E42" i="1" s="1"/>
  <c r="E39" i="1"/>
  <c r="E43" i="1" s="1"/>
  <c r="F19" i="1"/>
  <c r="F21" i="1"/>
  <c r="G22" i="1"/>
  <c r="F38" i="1" l="1"/>
  <c r="F42" i="1" s="1"/>
  <c r="F39" i="1"/>
  <c r="F43" i="1" s="1"/>
  <c r="G19" i="1"/>
  <c r="F37" i="1"/>
  <c r="F41" i="1" s="1"/>
  <c r="F45" i="1" s="1"/>
  <c r="H22" i="1"/>
  <c r="G21" i="1"/>
  <c r="I22" i="1" l="1"/>
  <c r="H21" i="1"/>
  <c r="G39" i="1"/>
  <c r="G43" i="1" s="1"/>
  <c r="H19" i="1"/>
  <c r="G37" i="1"/>
  <c r="G41" i="1" s="1"/>
  <c r="G45" i="1" s="1"/>
  <c r="G38" i="1"/>
  <c r="G42" i="1" s="1"/>
  <c r="I21" i="1" l="1"/>
  <c r="J22" i="1"/>
  <c r="J21" i="1" s="1"/>
  <c r="H37" i="1"/>
  <c r="H41" i="1" s="1"/>
  <c r="H45" i="1" s="1"/>
  <c r="H38" i="1"/>
  <c r="H42" i="1" s="1"/>
  <c r="H39" i="1"/>
  <c r="H43" i="1" s="1"/>
  <c r="I19" i="1"/>
  <c r="J19" i="1" s="1"/>
  <c r="J42" i="1" l="1"/>
  <c r="J39" i="1"/>
  <c r="J43" i="1" s="1"/>
  <c r="J41" i="1"/>
  <c r="J45" i="1" s="1"/>
  <c r="I37" i="1"/>
  <c r="I41" i="1" s="1"/>
  <c r="I45" i="1" s="1"/>
  <c r="I38" i="1"/>
  <c r="I42" i="1" s="1"/>
  <c r="I39" i="1"/>
  <c r="I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Казанцева Лариса Федоровна</author>
  </authors>
  <commentList>
    <comment ref="F5" authorId="0" shapeId="0" xr:uid="{9DD94AC2-0708-44B8-8DC8-43571C717BE9}">
      <text>
        <r>
          <rPr>
            <b/>
            <sz val="9"/>
            <color indexed="81"/>
            <rFont val="Tahoma"/>
            <family val="2"/>
            <charset val="204"/>
          </rPr>
          <t>Казанцева Лариса Федоровна:</t>
        </r>
        <r>
          <rPr>
            <sz val="9"/>
            <color indexed="81"/>
            <rFont val="Tahoma"/>
            <family val="2"/>
            <charset val="204"/>
          </rPr>
          <t xml:space="preserve">
С сайта УФСИН
http://16.fsin.su/statistics/kratkaya-kharakteristika-ugolovno-ispolnitelnoy-sistemy-respubliki-tatarstan/</t>
        </r>
      </text>
    </comment>
    <comment ref="G5" authorId="0" shapeId="0" xr:uid="{10745C1E-51C9-4D12-89E0-A4318FFCE01E}">
      <text>
        <r>
          <rPr>
            <b/>
            <sz val="9"/>
            <color indexed="81"/>
            <rFont val="Tahoma"/>
            <family val="2"/>
            <charset val="204"/>
          </rPr>
          <t>Казанцева Лариса Федоровна:</t>
        </r>
        <r>
          <rPr>
            <sz val="9"/>
            <color indexed="81"/>
            <rFont val="Tahoma"/>
            <family val="2"/>
            <charset val="204"/>
          </rPr>
          <t xml:space="preserve">
С сайта УФСИН
http://16.fsin.su/statistics/kratkaya-kharakteristika-ugolovno-ispolnitelnoy-sistemy-respubliki-tatarstan/</t>
        </r>
      </text>
    </comment>
    <comment ref="E7" authorId="0" shapeId="0" xr:uid="{0DF5DE63-4DEC-4155-8183-74F09B3B715D}">
      <text>
        <r>
          <rPr>
            <b/>
            <sz val="9"/>
            <color indexed="81"/>
            <rFont val="Tahoma"/>
            <family val="2"/>
            <charset val="204"/>
          </rPr>
          <t>Казанцева Лариса Федоровна:</t>
        </r>
        <r>
          <rPr>
            <sz val="9"/>
            <color indexed="81"/>
            <rFont val="Tahoma"/>
            <family val="2"/>
            <charset val="204"/>
          </rPr>
          <t xml:space="preserve">
из "Огурца"</t>
        </r>
      </text>
    </comment>
    <comment ref="F7" authorId="0" shapeId="0" xr:uid="{0C7334F2-304A-4F83-82E9-B6E9B5AB1A7F}">
      <text>
        <r>
          <rPr>
            <b/>
            <sz val="9"/>
            <color indexed="81"/>
            <rFont val="Tahoma"/>
            <family val="2"/>
            <charset val="204"/>
          </rPr>
          <t>Казанцева Лариса Федоровна:</t>
        </r>
        <r>
          <rPr>
            <sz val="9"/>
            <color indexed="81"/>
            <rFont val="Tahoma"/>
            <family val="2"/>
            <charset val="204"/>
          </rPr>
          <t xml:space="preserve">
из "Огурца"</t>
        </r>
      </text>
    </comment>
    <comment ref="G7" authorId="0" shapeId="0" xr:uid="{26E69EB2-FFDF-47BE-ADB2-EC36FE801C99}">
      <text>
        <r>
          <rPr>
            <b/>
            <sz val="9"/>
            <color indexed="81"/>
            <rFont val="Tahoma"/>
            <family val="2"/>
            <charset val="204"/>
          </rPr>
          <t>Казанцева Лариса Федоровна:</t>
        </r>
        <r>
          <rPr>
            <sz val="9"/>
            <color indexed="81"/>
            <rFont val="Tahoma"/>
            <family val="2"/>
            <charset val="204"/>
          </rPr>
          <t xml:space="preserve">
http://usd.tatarstan.ru/rus/svodnie-statisticheskie-otcheti-za-6-mesyatsev-201-3812277.htm</t>
        </r>
      </text>
    </comment>
    <comment ref="G9" authorId="0" shapeId="0" xr:uid="{FE1D1AF6-56F2-46F4-873B-0308DBC6C311}">
      <text>
        <r>
          <rPr>
            <b/>
            <sz val="9"/>
            <color indexed="81"/>
            <rFont val="Tahoma"/>
            <family val="2"/>
            <charset val="204"/>
          </rPr>
          <t>Казанцева Лариса Федоровна:</t>
        </r>
        <r>
          <rPr>
            <sz val="9"/>
            <color indexed="81"/>
            <rFont val="Tahoma"/>
            <family val="2"/>
            <charset val="204"/>
          </rPr>
          <t xml:space="preserve">
С сайта УФСИН
http://16.fsin.su/statistics/kratkaya-kharakteristika-ugolovno-ispolnitelnoy-sistemy-respubliki-tatarstan/</t>
        </r>
      </text>
    </comment>
  </commentList>
</comments>
</file>

<file path=xl/sharedStrings.xml><?xml version="1.0" encoding="utf-8"?>
<sst xmlns="http://schemas.openxmlformats.org/spreadsheetml/2006/main" count="79" uniqueCount="73">
  <si>
    <t>Модель 
"Расчет выпадающих доходов валового регионального продукта (ВРП) 
от лиц, находящихся в исправительных колониях и СИЗО"</t>
  </si>
  <si>
    <t>№ стр.</t>
  </si>
  <si>
    <t>Наименование показателя</t>
  </si>
  <si>
    <t>2015 год (базовый год)</t>
  </si>
  <si>
    <t>2016 год</t>
  </si>
  <si>
    <t>2017 год</t>
  </si>
  <si>
    <t>Формула расчета</t>
  </si>
  <si>
    <t>Прямые потери ВРП</t>
  </si>
  <si>
    <t>Число лиц, находящихся в исправительных колониях и СИЗО, чел.</t>
  </si>
  <si>
    <t xml:space="preserve"> 1.1</t>
  </si>
  <si>
    <t xml:space="preserve"> в том числе: 
 - жителей РТ, чел.</t>
  </si>
  <si>
    <t xml:space="preserve"> 1.2</t>
  </si>
  <si>
    <t xml:space="preserve"> - лишенных свободы в текущем году, чел.</t>
  </si>
  <si>
    <t>Вышедших на свободу в текущем году, чел.</t>
  </si>
  <si>
    <t>Количество работающих лиц в системе УИН, чел.</t>
  </si>
  <si>
    <t xml:space="preserve">  2.1</t>
  </si>
  <si>
    <t xml:space="preserve">  2.2</t>
  </si>
  <si>
    <t>Индекс-дефлятор</t>
  </si>
  <si>
    <t>Производительность труда 1 работающего в среднем по РТ, тыс.руб. в год.</t>
  </si>
  <si>
    <t xml:space="preserve"> 4.1</t>
  </si>
  <si>
    <t>Производительность труда 1 работающего в системе УИН, тыс.руб. в год.</t>
  </si>
  <si>
    <t>Прямые выпадающие доходы ВРП от лиц, находящихся в исправительных колониях и СИЗО, млн.руб. в год</t>
  </si>
  <si>
    <t>((стр.1 - стр.2)* стр.4 + стр.2 * (стр.4 - стр.4.1))/ 1000</t>
  </si>
  <si>
    <t xml:space="preserve"> 5.1</t>
  </si>
  <si>
    <t xml:space="preserve">   в том числе:
-  жителей РТ, млн.руб. в год</t>
  </si>
  <si>
    <t>((стр.1.1 - стр.2.1)* стр.4 + стр.2.1 * (стр.4 - стр.4.1))/ 1000</t>
  </si>
  <si>
    <t xml:space="preserve"> 5.2</t>
  </si>
  <si>
    <t xml:space="preserve"> - от лиц, лишенных своботы в текушем году, млн.руб. в год</t>
  </si>
  <si>
    <t>((стр.1.2 - стр.2.2)* стр.4 + стр.2.2 * (стр.4 - стр.4.1))/ 1000</t>
  </si>
  <si>
    <t>Косвенные потери ВРП</t>
  </si>
  <si>
    <t>Содержание одного лишенного свободы, руб. в год</t>
  </si>
  <si>
    <t>стр.7+стр. 24</t>
  </si>
  <si>
    <t xml:space="preserve">  в том числе:</t>
  </si>
  <si>
    <t xml:space="preserve">   Индивидуальные затраты одного лишенного свободы, руб. в год</t>
  </si>
  <si>
    <t>стр.8+стр.9+стр.10+стр.11+ стр.12</t>
  </si>
  <si>
    <t xml:space="preserve">  питание</t>
  </si>
  <si>
    <t xml:space="preserve">  медикаменты, руб. в год</t>
  </si>
  <si>
    <t xml:space="preserve">  услуги бытовые, руб. в год</t>
  </si>
  <si>
    <t xml:space="preserve">  предметы санитарии, руб. в год</t>
  </si>
  <si>
    <t xml:space="preserve">  коммунальные услуги, руб. в год</t>
  </si>
  <si>
    <t xml:space="preserve">  - вода</t>
  </si>
  <si>
    <t xml:space="preserve">  - канализация</t>
  </si>
  <si>
    <t xml:space="preserve">  - эл/энергия</t>
  </si>
  <si>
    <t xml:space="preserve">  -отопление </t>
  </si>
  <si>
    <t xml:space="preserve">  Общие затраты, руб. в год</t>
  </si>
  <si>
    <t>стр.19+стр.20+стр.21+стр.22</t>
  </si>
  <si>
    <t xml:space="preserve"> - ФОТ персонала</t>
  </si>
  <si>
    <t xml:space="preserve"> - текущий и капитальный ремонт зданий</t>
  </si>
  <si>
    <t xml:space="preserve"> - технические средства, связь </t>
  </si>
  <si>
    <t xml:space="preserve"> - транспортные расходы</t>
  </si>
  <si>
    <t xml:space="preserve">  Общие затраты на одного лишенного свободы, руб. в год</t>
  </si>
  <si>
    <t>стр.18/стр.1</t>
  </si>
  <si>
    <t>Косвенные выпадающие доходы ВРП от лиц, находящихся в исправительных колониях и СИЗО, млн. руб. в год</t>
  </si>
  <si>
    <t>стр.6*стр.1/1000000</t>
  </si>
  <si>
    <t xml:space="preserve"> 25.1</t>
  </si>
  <si>
    <t xml:space="preserve"> 25.2</t>
  </si>
  <si>
    <t>стр.6*стр.1.2/1000000</t>
  </si>
  <si>
    <t>ИТОГО потери ВРП от лиц, находящихся в исправительных колониях и СИЗО, млн.руб. в год</t>
  </si>
  <si>
    <t>стр.5+стр.25</t>
  </si>
  <si>
    <t xml:space="preserve"> 26.1</t>
  </si>
  <si>
    <t>стр.5.1+стр.25.1</t>
  </si>
  <si>
    <t xml:space="preserve"> 26.2</t>
  </si>
  <si>
    <t>стр.5.2+стр.25.2</t>
  </si>
  <si>
    <t>Влияние на ВРП</t>
  </si>
  <si>
    <t>ВРП по РТ, млн. рублей в год</t>
  </si>
  <si>
    <t>2020 год (прогноз)</t>
  </si>
  <si>
    <t>2021 год (прогноз)</t>
  </si>
  <si>
    <t>2022 год (прогноз)</t>
  </si>
  <si>
    <t>2019 год (оценка)</t>
  </si>
  <si>
    <t>стр.6*стр.1.1/1000000</t>
  </si>
  <si>
    <t>стр.26/стр.27.1*100</t>
  </si>
  <si>
    <t xml:space="preserve"> 27.1</t>
  </si>
  <si>
    <t>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</si>
</sst>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%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0" fillId="0" borderId="0" xfId="0" applyAlignment="1">
      <alignment horizontal="right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" fontId="7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3" fontId="8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9" fontId="3" fillId="0" borderId="1" xfId="1" applyNumberFormat="1" applyFont="1" applyBorder="1" applyAlignment="1">
      <alignment vertical="top"/>
    </xf>
    <xf numFmtId="0" fontId="0" fillId="0" borderId="0" xfId="0" applyAlignment="1">
      <alignment wrapText="1"/>
    </xf>
    <xf numFmtId="0" fontId="10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7" fillId="0" borderId="1" xfId="0" applyFont="1" applyBorder="1" applyAlignment="1">
      <alignment horizontal="left"/>
    </xf>
    <xf numFmtId="165" fontId="7" fillId="0" borderId="1" xfId="1" applyNumberFormat="1" applyFont="1" applyBorder="1" applyAlignment="1">
      <alignment vertical="top"/>
    </xf>
    <xf numFmtId="0" fontId="6" fillId="0" borderId="0" xfId="0" applyFont="1"/>
    <xf numFmtId="3" fontId="12" fillId="0" borderId="1" xfId="0" applyNumberFormat="1" applyFont="1" applyBorder="1" applyAlignment="1">
      <alignment vertical="top"/>
    </xf>
    <xf numFmtId="3" fontId="13" fillId="0" borderId="1" xfId="0" applyNumberFormat="1" applyFont="1" applyBorder="1" applyAlignment="1">
      <alignment vertical="top"/>
    </xf>
    <xf numFmtId="3" fontId="14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vertical="top"/>
    </xf>
    <xf numFmtId="164" fontId="13" fillId="0" borderId="1" xfId="0" applyNumberFormat="1" applyFont="1" applyBorder="1" applyAlignment="1">
      <alignment vertical="top"/>
    </xf>
    <xf numFmtId="0" fontId="2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right" vertical="top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6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" sqref="F3"/>
    </sheetView>
  </sheetViews>
  <sheetFormatPr defaultRowHeight="15" x14ac:dyDescent="0.25"/>
  <cols>
    <col min="1" max="1" width="7.140625" customWidth="1"/>
    <col min="2" max="2" width="73.140625" customWidth="1"/>
    <col min="3" max="3" width="14.28515625" customWidth="1"/>
    <col min="4" max="4" width="13.140625" bestFit="1" customWidth="1"/>
    <col min="5" max="10" width="14.140625" bestFit="1" customWidth="1"/>
    <col min="11" max="11" width="27.28515625" bestFit="1" customWidth="1"/>
  </cols>
  <sheetData>
    <row r="1" spans="1:24" ht="56.25" customHeight="1" x14ac:dyDescent="0.25">
      <c r="B1" s="39" t="s">
        <v>0</v>
      </c>
      <c r="C1" s="39"/>
      <c r="D1" s="39"/>
      <c r="E1" s="39"/>
      <c r="F1" s="39"/>
      <c r="G1" s="1"/>
      <c r="H1" s="1"/>
      <c r="I1" s="1"/>
      <c r="J1" s="1"/>
      <c r="K1" s="1"/>
    </row>
    <row r="2" spans="1:24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24" ht="30" x14ac:dyDescent="0.25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72</v>
      </c>
      <c r="G3" s="3" t="s">
        <v>68</v>
      </c>
      <c r="H3" s="3" t="s">
        <v>65</v>
      </c>
      <c r="I3" s="3" t="s">
        <v>66</v>
      </c>
      <c r="J3" s="3" t="s">
        <v>67</v>
      </c>
      <c r="K3" s="3" t="s">
        <v>6</v>
      </c>
      <c r="M3">
        <v>2010</v>
      </c>
      <c r="N3">
        <v>2011</v>
      </c>
      <c r="O3">
        <v>2012</v>
      </c>
      <c r="P3">
        <v>2013</v>
      </c>
      <c r="Q3">
        <v>2014</v>
      </c>
      <c r="R3">
        <v>2015</v>
      </c>
      <c r="S3">
        <v>2016</v>
      </c>
      <c r="T3">
        <v>2017</v>
      </c>
      <c r="U3">
        <v>2018</v>
      </c>
      <c r="V3">
        <v>2019</v>
      </c>
      <c r="W3">
        <v>2020</v>
      </c>
      <c r="X3">
        <v>2021</v>
      </c>
    </row>
    <row r="4" spans="1:24" ht="20.25" x14ac:dyDescent="0.3">
      <c r="A4" s="4"/>
      <c r="B4" s="5" t="s">
        <v>7</v>
      </c>
      <c r="C4" s="1"/>
      <c r="D4" s="1"/>
      <c r="E4" s="1"/>
      <c r="F4" s="1"/>
      <c r="G4" s="1"/>
      <c r="H4" s="1"/>
      <c r="I4" s="1"/>
      <c r="J4" s="1"/>
      <c r="K4" s="6"/>
    </row>
    <row r="5" spans="1:24" x14ac:dyDescent="0.25">
      <c r="A5" s="7">
        <v>1</v>
      </c>
      <c r="B5" s="7" t="s">
        <v>8</v>
      </c>
      <c r="C5" s="35">
        <v>12265</v>
      </c>
      <c r="D5" s="35">
        <v>12300</v>
      </c>
      <c r="E5" s="35">
        <v>11200</v>
      </c>
      <c r="F5" s="35">
        <f>G5+174</f>
        <v>10424</v>
      </c>
      <c r="G5" s="35">
        <v>10250</v>
      </c>
      <c r="H5" s="35">
        <f>ROUND(G5*AVERAGE($S$5:V5),0)</f>
        <v>9808</v>
      </c>
      <c r="I5" s="35">
        <f>ROUND(H5*AVERAGE($S$5:W5),0)</f>
        <v>9385</v>
      </c>
      <c r="J5" s="35">
        <f>ROUND(I5*AVERAGE($S$5:X5),0)</f>
        <v>8980</v>
      </c>
      <c r="K5" s="7"/>
      <c r="S5">
        <f>D5/C5</f>
        <v>1.0028536485935589</v>
      </c>
      <c r="T5">
        <f t="shared" ref="T5:X5" si="0">E5/D5</f>
        <v>0.91056910569105687</v>
      </c>
      <c r="U5">
        <f t="shared" si="0"/>
        <v>0.93071428571428572</v>
      </c>
      <c r="V5">
        <f t="shared" si="0"/>
        <v>0.98330775134305448</v>
      </c>
      <c r="W5">
        <f t="shared" si="0"/>
        <v>0.95687804878048777</v>
      </c>
      <c r="X5">
        <f t="shared" si="0"/>
        <v>0.95687194127243069</v>
      </c>
    </row>
    <row r="6" spans="1:24" ht="30" x14ac:dyDescent="0.25">
      <c r="A6" s="9" t="s">
        <v>9</v>
      </c>
      <c r="B6" s="7" t="s">
        <v>10</v>
      </c>
      <c r="C6" s="35">
        <v>9940</v>
      </c>
      <c r="D6" s="35">
        <f>ROUND(D5*($C$6/$C$5),0)</f>
        <v>9968</v>
      </c>
      <c r="E6" s="35">
        <f>ROUND(E5*($C$6/$C$5),0)</f>
        <v>9077</v>
      </c>
      <c r="F6" s="35">
        <f t="shared" ref="F6" si="1">ROUND(F5*($C$6/$C$5),0)</f>
        <v>8448</v>
      </c>
      <c r="G6" s="35">
        <f>ROUND(G5*($C$6/$C$5),0)</f>
        <v>8307</v>
      </c>
      <c r="H6" s="35">
        <f>ROUND(H5*($C$6/$C$5),0)</f>
        <v>7949</v>
      </c>
      <c r="I6" s="35">
        <f>ROUND(I5*($C$6/$C$5),0)</f>
        <v>7606</v>
      </c>
      <c r="J6" s="35">
        <f>ROUND(J5*($C$6/$C$5),0)</f>
        <v>7278</v>
      </c>
      <c r="K6" s="7"/>
    </row>
    <row r="7" spans="1:24" x14ac:dyDescent="0.25">
      <c r="A7" s="9" t="s">
        <v>11</v>
      </c>
      <c r="B7" s="7" t="s">
        <v>12</v>
      </c>
      <c r="C7" s="35">
        <v>4179</v>
      </c>
      <c r="D7" s="35">
        <v>4282</v>
      </c>
      <c r="E7" s="35">
        <v>4617</v>
      </c>
      <c r="F7" s="35">
        <v>4163</v>
      </c>
      <c r="G7" s="35">
        <f>1854*2</f>
        <v>3708</v>
      </c>
      <c r="H7" s="35">
        <f>ROUND(G7*AVERAGE($O$9:V9),0)</f>
        <v>3571</v>
      </c>
      <c r="I7" s="35">
        <f>ROUND(H7*AVERAGE($O$9:W9),0)</f>
        <v>3439</v>
      </c>
      <c r="J7" s="35">
        <f>ROUND(I7*AVERAGE($O$9:X9),0)</f>
        <v>3312</v>
      </c>
      <c r="K7" s="7"/>
      <c r="M7">
        <v>6003</v>
      </c>
      <c r="N7">
        <v>5342</v>
      </c>
      <c r="O7">
        <v>3794</v>
      </c>
      <c r="P7">
        <v>3897.5</v>
      </c>
      <c r="Q7">
        <v>4001</v>
      </c>
      <c r="R7">
        <v>4179</v>
      </c>
    </row>
    <row r="8" spans="1:24" hidden="1" x14ac:dyDescent="0.25">
      <c r="A8" s="9"/>
      <c r="B8" s="10" t="s">
        <v>13</v>
      </c>
      <c r="C8" s="36">
        <v>5301</v>
      </c>
      <c r="D8" s="36"/>
      <c r="E8" s="35"/>
      <c r="F8" s="35"/>
      <c r="G8" s="35"/>
      <c r="H8" s="35"/>
      <c r="I8" s="35"/>
      <c r="J8" s="35"/>
      <c r="K8" s="7"/>
    </row>
    <row r="9" spans="1:24" x14ac:dyDescent="0.25">
      <c r="A9" s="9">
        <v>2</v>
      </c>
      <c r="B9" s="7" t="s">
        <v>14</v>
      </c>
      <c r="C9" s="35">
        <v>4185</v>
      </c>
      <c r="D9" s="35">
        <f>ROUND(D6*($C$9/$C$6),0)</f>
        <v>4197</v>
      </c>
      <c r="E9" s="35">
        <f t="shared" ref="E9:I9" si="2">ROUND(E6*($C$9/$C$6),0)</f>
        <v>3822</v>
      </c>
      <c r="F9" s="35">
        <f t="shared" si="2"/>
        <v>3557</v>
      </c>
      <c r="G9" s="35">
        <v>4627</v>
      </c>
      <c r="H9" s="35">
        <f>ROUND(H6*($C$9/$C$6),0)</f>
        <v>3347</v>
      </c>
      <c r="I9" s="35">
        <f t="shared" si="2"/>
        <v>3202</v>
      </c>
      <c r="J9" s="35">
        <f t="shared" ref="J9" si="3">ROUND(J6*($C$9/$C$6),0)</f>
        <v>3064</v>
      </c>
      <c r="K9" s="7"/>
      <c r="O9">
        <f>O7/N7</f>
        <v>0.71022089105204045</v>
      </c>
      <c r="P9">
        <f>P7/O7</f>
        <v>1.0272799156562995</v>
      </c>
      <c r="Q9">
        <f>Q7/P7</f>
        <v>1.0265554842847979</v>
      </c>
      <c r="R9">
        <f>R7/Q7</f>
        <v>1.0444888777805548</v>
      </c>
      <c r="S9">
        <f>D7/R7</f>
        <v>1.0246470447475473</v>
      </c>
      <c r="T9">
        <f>E7/D7</f>
        <v>1.0782344698738906</v>
      </c>
      <c r="U9">
        <f t="shared" ref="U9:X9" si="4">F7/E7</f>
        <v>0.90166774962096596</v>
      </c>
      <c r="V9">
        <f t="shared" si="4"/>
        <v>0.89070381936103771</v>
      </c>
      <c r="W9">
        <f t="shared" si="4"/>
        <v>0.96305285868392665</v>
      </c>
      <c r="X9">
        <f t="shared" si="4"/>
        <v>0.96303556426771209</v>
      </c>
    </row>
    <row r="10" spans="1:24" ht="30" x14ac:dyDescent="0.25">
      <c r="A10" s="9" t="s">
        <v>15</v>
      </c>
      <c r="B10" s="7" t="s">
        <v>10</v>
      </c>
      <c r="C10" s="35">
        <f>ROUND(C9*(C6/C5),0)</f>
        <v>3392</v>
      </c>
      <c r="D10" s="35">
        <f t="shared" ref="D10:I10" si="5">ROUND(D9*(D6/D5),0)</f>
        <v>3401</v>
      </c>
      <c r="E10" s="35">
        <f t="shared" si="5"/>
        <v>3098</v>
      </c>
      <c r="F10" s="35">
        <f t="shared" si="5"/>
        <v>2883</v>
      </c>
      <c r="G10" s="35">
        <f t="shared" si="5"/>
        <v>3750</v>
      </c>
      <c r="H10" s="35">
        <f t="shared" si="5"/>
        <v>2713</v>
      </c>
      <c r="I10" s="35">
        <f t="shared" si="5"/>
        <v>2595</v>
      </c>
      <c r="J10" s="35">
        <f t="shared" ref="J10" si="6">ROUND(J9*(J6/J5),0)</f>
        <v>2483</v>
      </c>
      <c r="K10" s="7"/>
    </row>
    <row r="11" spans="1:24" x14ac:dyDescent="0.25">
      <c r="A11" s="9" t="s">
        <v>16</v>
      </c>
      <c r="B11" s="7" t="s">
        <v>12</v>
      </c>
      <c r="C11" s="35">
        <f>ROUND(C7*(C9/C5),0)</f>
        <v>1426</v>
      </c>
      <c r="D11" s="35">
        <f t="shared" ref="D11:I11" si="7">ROUND(D7*(D9/D5),0)</f>
        <v>1461</v>
      </c>
      <c r="E11" s="35">
        <f t="shared" si="7"/>
        <v>1576</v>
      </c>
      <c r="F11" s="35">
        <f t="shared" si="7"/>
        <v>1421</v>
      </c>
      <c r="G11" s="35">
        <f>ROUND(G7*(G9/G5),0)</f>
        <v>1674</v>
      </c>
      <c r="H11" s="35">
        <f t="shared" si="7"/>
        <v>1219</v>
      </c>
      <c r="I11" s="35">
        <f t="shared" si="7"/>
        <v>1173</v>
      </c>
      <c r="J11" s="35">
        <f t="shared" ref="J11" si="8">ROUND(J7*(J9/J5),0)</f>
        <v>1130</v>
      </c>
      <c r="K11" s="7"/>
    </row>
    <row r="12" spans="1:24" x14ac:dyDescent="0.25">
      <c r="A12" s="7">
        <v>3</v>
      </c>
      <c r="B12" s="7" t="s">
        <v>17</v>
      </c>
      <c r="C12" s="35"/>
      <c r="D12" s="37">
        <v>1.0309999999999999</v>
      </c>
      <c r="E12" s="37">
        <v>1.046</v>
      </c>
      <c r="F12" s="37">
        <v>1.0369999999999999</v>
      </c>
      <c r="G12" s="37">
        <v>1.0409999999999999</v>
      </c>
      <c r="H12" s="37">
        <v>1.038</v>
      </c>
      <c r="I12" s="37">
        <v>1.04</v>
      </c>
      <c r="J12" s="37">
        <v>1.04</v>
      </c>
      <c r="K12" s="7"/>
    </row>
    <row r="13" spans="1:24" x14ac:dyDescent="0.25">
      <c r="A13" s="7">
        <v>4</v>
      </c>
      <c r="B13" s="7" t="s">
        <v>18</v>
      </c>
      <c r="C13" s="38">
        <v>1448.8455144525983</v>
      </c>
      <c r="D13" s="38">
        <v>1520.1556967771221</v>
      </c>
      <c r="E13" s="38">
        <v>1731.3211213517666</v>
      </c>
      <c r="F13" s="38">
        <f>2440258.7/1285.7</f>
        <v>1898.000077778642</v>
      </c>
      <c r="G13" s="38">
        <f>2584302.9/1282.7</f>
        <v>2014.7368051765804</v>
      </c>
      <c r="H13" s="38">
        <f>ROUND(G13*H12,0)</f>
        <v>2091</v>
      </c>
      <c r="I13" s="38">
        <f t="shared" ref="I13:J13" si="9">ROUND(H13*I12,0)</f>
        <v>2175</v>
      </c>
      <c r="J13" s="38">
        <f t="shared" si="9"/>
        <v>2262</v>
      </c>
      <c r="K13" s="7"/>
    </row>
    <row r="14" spans="1:24" x14ac:dyDescent="0.25">
      <c r="A14" s="12" t="s">
        <v>19</v>
      </c>
      <c r="B14" s="7" t="s">
        <v>20</v>
      </c>
      <c r="C14" s="38">
        <f>195.7*34%</f>
        <v>66.537999999999997</v>
      </c>
      <c r="D14" s="38">
        <f>200.4*34%</f>
        <v>68.13600000000001</v>
      </c>
      <c r="E14" s="38">
        <f>ROUND(D14*D14/C14,1)</f>
        <v>69.8</v>
      </c>
      <c r="F14" s="38">
        <f>ROUND(E14*E14/D14,1)</f>
        <v>71.5</v>
      </c>
      <c r="G14" s="38">
        <f t="shared" ref="G14:J14" si="10">ROUND(F14*F14/E14,1)</f>
        <v>73.2</v>
      </c>
      <c r="H14" s="38">
        <f t="shared" si="10"/>
        <v>74.900000000000006</v>
      </c>
      <c r="I14" s="38">
        <f t="shared" si="10"/>
        <v>76.599999999999994</v>
      </c>
      <c r="J14" s="38">
        <f t="shared" si="10"/>
        <v>78.3</v>
      </c>
      <c r="K14" s="7"/>
    </row>
    <row r="15" spans="1:24" ht="47.25" x14ac:dyDescent="0.25">
      <c r="A15" s="13">
        <v>5</v>
      </c>
      <c r="B15" s="14" t="s">
        <v>21</v>
      </c>
      <c r="C15" s="15">
        <f>ROUND(((C5-C9)*C$13+(C9*(C$13-C$14)))/1000,2)</f>
        <v>17491.63</v>
      </c>
      <c r="D15" s="15">
        <f t="shared" ref="D15:I15" si="11">ROUND(((D5-D9)*D13+(D9*(D13-D14)))/1000,2)</f>
        <v>18411.95</v>
      </c>
      <c r="E15" s="15">
        <f t="shared" si="11"/>
        <v>19124.02</v>
      </c>
      <c r="F15" s="15">
        <f t="shared" si="11"/>
        <v>19530.43</v>
      </c>
      <c r="G15" s="15">
        <f t="shared" si="11"/>
        <v>20312.36</v>
      </c>
      <c r="H15" s="15">
        <f t="shared" si="11"/>
        <v>20257.84</v>
      </c>
      <c r="I15" s="15">
        <f t="shared" si="11"/>
        <v>20167.099999999999</v>
      </c>
      <c r="J15" s="15">
        <f t="shared" ref="J15" si="12">ROUND(((J5-J9)*J13+(J9*(J13-J14)))/1000,2)</f>
        <v>20072.849999999999</v>
      </c>
      <c r="K15" s="13" t="s">
        <v>22</v>
      </c>
    </row>
    <row r="16" spans="1:24" ht="47.25" x14ac:dyDescent="0.25">
      <c r="A16" s="16" t="s">
        <v>23</v>
      </c>
      <c r="B16" s="14" t="s">
        <v>24</v>
      </c>
      <c r="C16" s="15">
        <f>ROUND(((C6-C10)*C$13+(C10*(C$13-C$14)))/1000,2)</f>
        <v>14175.83</v>
      </c>
      <c r="D16" s="15">
        <f t="shared" ref="D16:I17" si="13">ROUND(((D6-D10)*D$13+(D10*(D$13-D$14)))/1000,2)</f>
        <v>14921.18</v>
      </c>
      <c r="E16" s="15">
        <f t="shared" si="13"/>
        <v>15498.96</v>
      </c>
      <c r="F16" s="15">
        <f t="shared" si="13"/>
        <v>15828.17</v>
      </c>
      <c r="G16" s="15">
        <f t="shared" si="13"/>
        <v>16461.919999999998</v>
      </c>
      <c r="H16" s="15">
        <f t="shared" si="13"/>
        <v>16418.16</v>
      </c>
      <c r="I16" s="15">
        <f t="shared" si="13"/>
        <v>16344.27</v>
      </c>
      <c r="J16" s="15">
        <f t="shared" ref="J16" si="14">ROUND(((J6-J10)*J$13+(J10*(J$13-J$14)))/1000,2)</f>
        <v>16268.42</v>
      </c>
      <c r="K16" s="13" t="s">
        <v>25</v>
      </c>
    </row>
    <row r="17" spans="1:11" ht="47.25" x14ac:dyDescent="0.25">
      <c r="A17" s="16" t="s">
        <v>26</v>
      </c>
      <c r="B17" s="14" t="s">
        <v>27</v>
      </c>
      <c r="C17" s="15">
        <f>ROUND(((C7-C11)*C$13+(C11*(C$13-C$14)))/1000,2)</f>
        <v>5959.84</v>
      </c>
      <c r="D17" s="15">
        <f t="shared" si="13"/>
        <v>6409.76</v>
      </c>
      <c r="E17" s="15">
        <f t="shared" si="13"/>
        <v>7883.5</v>
      </c>
      <c r="F17" s="15">
        <f t="shared" si="13"/>
        <v>7799.77</v>
      </c>
      <c r="G17" s="15">
        <f t="shared" si="13"/>
        <v>7348.11</v>
      </c>
      <c r="H17" s="15">
        <f t="shared" si="13"/>
        <v>7375.66</v>
      </c>
      <c r="I17" s="15">
        <f t="shared" si="13"/>
        <v>7389.97</v>
      </c>
      <c r="J17" s="15">
        <f t="shared" ref="J17" si="15">ROUND(((J7-J11)*J$13+(J11*(J$13-J$14)))/1000,2)</f>
        <v>7403.27</v>
      </c>
      <c r="K17" s="13" t="s">
        <v>28</v>
      </c>
    </row>
    <row r="18" spans="1:11" ht="20.25" x14ac:dyDescent="0.3">
      <c r="A18" s="17"/>
      <c r="B18" s="5" t="s">
        <v>29</v>
      </c>
      <c r="C18" s="18"/>
      <c r="D18" s="18"/>
      <c r="E18" s="18"/>
      <c r="F18" s="18"/>
      <c r="G18" s="18"/>
      <c r="H18" s="18"/>
      <c r="I18" s="18"/>
      <c r="J18" s="18"/>
      <c r="K18" s="19"/>
    </row>
    <row r="19" spans="1:11" x14ac:dyDescent="0.25">
      <c r="A19" s="7">
        <v>6</v>
      </c>
      <c r="B19" s="20" t="s">
        <v>30</v>
      </c>
      <c r="C19" s="21">
        <f>C21+C36</f>
        <v>92123.675886669371</v>
      </c>
      <c r="D19" s="21">
        <f>C19*D12</f>
        <v>94979.509839156119</v>
      </c>
      <c r="E19" s="21">
        <f t="shared" ref="E19:J19" si="16">D19*E12</f>
        <v>99348.56729175731</v>
      </c>
      <c r="F19" s="21">
        <f t="shared" si="16"/>
        <v>103024.46428155233</v>
      </c>
      <c r="G19" s="21">
        <f t="shared" si="16"/>
        <v>107248.46731709596</v>
      </c>
      <c r="H19" s="21">
        <f t="shared" si="16"/>
        <v>111323.90907514561</v>
      </c>
      <c r="I19" s="21">
        <f t="shared" si="16"/>
        <v>115776.86543815144</v>
      </c>
      <c r="J19" s="21">
        <f t="shared" si="16"/>
        <v>120407.94005567749</v>
      </c>
      <c r="K19" s="7" t="s">
        <v>31</v>
      </c>
    </row>
    <row r="20" spans="1:11" x14ac:dyDescent="0.25">
      <c r="A20" s="7"/>
      <c r="B20" s="7" t="s">
        <v>32</v>
      </c>
      <c r="C20" s="11"/>
      <c r="D20" s="11"/>
      <c r="E20" s="11"/>
      <c r="F20" s="11"/>
      <c r="G20" s="11"/>
      <c r="H20" s="11"/>
      <c r="I20" s="11"/>
      <c r="J20" s="11"/>
      <c r="K20" s="7"/>
    </row>
    <row r="21" spans="1:11" ht="30" x14ac:dyDescent="0.25">
      <c r="A21" s="7">
        <v>7</v>
      </c>
      <c r="B21" s="22" t="s">
        <v>33</v>
      </c>
      <c r="C21" s="23">
        <f t="shared" ref="C21:I21" si="17">SUM(C22:C26)</f>
        <v>57253.149999999994</v>
      </c>
      <c r="D21" s="23">
        <f t="shared" si="17"/>
        <v>59027.999999999993</v>
      </c>
      <c r="E21" s="23">
        <f t="shared" si="17"/>
        <v>61743.28</v>
      </c>
      <c r="F21" s="23">
        <f t="shared" si="17"/>
        <v>64027.79</v>
      </c>
      <c r="G21" s="23">
        <f t="shared" si="17"/>
        <v>66652.92</v>
      </c>
      <c r="H21" s="23">
        <f t="shared" si="17"/>
        <v>69185.73</v>
      </c>
      <c r="I21" s="23">
        <f t="shared" si="17"/>
        <v>71953.16</v>
      </c>
      <c r="J21" s="23">
        <f t="shared" ref="J21" si="18">SUM(J22:J26)</f>
        <v>74831.28</v>
      </c>
      <c r="K21" s="7" t="s">
        <v>34</v>
      </c>
    </row>
    <row r="22" spans="1:11" x14ac:dyDescent="0.25">
      <c r="A22" s="7">
        <v>8</v>
      </c>
      <c r="B22" s="7" t="s">
        <v>35</v>
      </c>
      <c r="C22" s="24">
        <f>(107.87+20.64)*365</f>
        <v>46906.149999999994</v>
      </c>
      <c r="D22" s="11">
        <f>ROUND(C22*D12,2)</f>
        <v>48360.24</v>
      </c>
      <c r="E22" s="11">
        <f>ROUND(D22*E12,2)</f>
        <v>50584.81</v>
      </c>
      <c r="F22" s="11">
        <f t="shared" ref="F22:J22" si="19">ROUND(E22*F12,2)</f>
        <v>52456.45</v>
      </c>
      <c r="G22" s="11">
        <f t="shared" si="19"/>
        <v>54607.16</v>
      </c>
      <c r="H22" s="11">
        <f t="shared" si="19"/>
        <v>56682.23</v>
      </c>
      <c r="I22" s="11">
        <f t="shared" si="19"/>
        <v>58949.52</v>
      </c>
      <c r="J22" s="11">
        <f t="shared" si="19"/>
        <v>61307.5</v>
      </c>
      <c r="K22" s="7"/>
    </row>
    <row r="23" spans="1:11" x14ac:dyDescent="0.25">
      <c r="A23" s="7">
        <v>9</v>
      </c>
      <c r="B23" s="7" t="s">
        <v>36</v>
      </c>
      <c r="C23" s="24">
        <v>147</v>
      </c>
      <c r="D23" s="11">
        <f>ROUND(C23*$D12,2)</f>
        <v>151.56</v>
      </c>
      <c r="E23" s="11">
        <f>ROUND(D23*E12,2)</f>
        <v>158.53</v>
      </c>
      <c r="F23" s="11">
        <f t="shared" ref="F23:J23" si="20">ROUND(E23*F12,2)</f>
        <v>164.4</v>
      </c>
      <c r="G23" s="11">
        <f t="shared" si="20"/>
        <v>171.14</v>
      </c>
      <c r="H23" s="11">
        <f t="shared" si="20"/>
        <v>177.64</v>
      </c>
      <c r="I23" s="11">
        <f t="shared" si="20"/>
        <v>184.75</v>
      </c>
      <c r="J23" s="11">
        <f t="shared" si="20"/>
        <v>192.14</v>
      </c>
      <c r="K23" s="7"/>
    </row>
    <row r="24" spans="1:11" x14ac:dyDescent="0.25">
      <c r="A24" s="7">
        <v>10</v>
      </c>
      <c r="B24" s="7" t="s">
        <v>37</v>
      </c>
      <c r="C24" s="24">
        <v>1200</v>
      </c>
      <c r="D24" s="11">
        <f>ROUND(C24*D$12,2)</f>
        <v>1237.2</v>
      </c>
      <c r="E24" s="11">
        <f>ROUND(D24*E$12,2)</f>
        <v>1294.1099999999999</v>
      </c>
      <c r="F24" s="11">
        <f t="shared" ref="F24:J24" si="21">ROUND(E24*F$12,2)</f>
        <v>1341.99</v>
      </c>
      <c r="G24" s="11">
        <f t="shared" si="21"/>
        <v>1397.01</v>
      </c>
      <c r="H24" s="11">
        <f t="shared" si="21"/>
        <v>1450.1</v>
      </c>
      <c r="I24" s="11">
        <f t="shared" si="21"/>
        <v>1508.1</v>
      </c>
      <c r="J24" s="11">
        <f t="shared" si="21"/>
        <v>1568.42</v>
      </c>
      <c r="K24" s="7"/>
    </row>
    <row r="25" spans="1:11" x14ac:dyDescent="0.25">
      <c r="A25" s="7">
        <v>11</v>
      </c>
      <c r="B25" s="7" t="s">
        <v>38</v>
      </c>
      <c r="C25" s="24">
        <v>1224</v>
      </c>
      <c r="D25" s="11">
        <f>ROUND(C25*D$12,2)</f>
        <v>1261.94</v>
      </c>
      <c r="E25" s="11">
        <f t="shared" ref="E25:J26" si="22">ROUND(D25*E$12,2)</f>
        <v>1319.99</v>
      </c>
      <c r="F25" s="11">
        <f t="shared" si="22"/>
        <v>1368.83</v>
      </c>
      <c r="G25" s="11">
        <f t="shared" si="22"/>
        <v>1424.95</v>
      </c>
      <c r="H25" s="11">
        <f t="shared" si="22"/>
        <v>1479.1</v>
      </c>
      <c r="I25" s="11">
        <f>ROUND(H25*I$12,2)</f>
        <v>1538.26</v>
      </c>
      <c r="J25" s="11">
        <f>ROUND(I25*J$12,2)</f>
        <v>1599.79</v>
      </c>
      <c r="K25" s="7"/>
    </row>
    <row r="26" spans="1:11" x14ac:dyDescent="0.25">
      <c r="A26" s="7">
        <v>12</v>
      </c>
      <c r="B26" s="7" t="s">
        <v>39</v>
      </c>
      <c r="C26" s="24">
        <v>7776</v>
      </c>
      <c r="D26" s="11">
        <f>ROUND(C26*D$12,2)</f>
        <v>8017.06</v>
      </c>
      <c r="E26" s="11">
        <f t="shared" si="22"/>
        <v>8385.84</v>
      </c>
      <c r="F26" s="11">
        <f t="shared" si="22"/>
        <v>8696.1200000000008</v>
      </c>
      <c r="G26" s="11">
        <f t="shared" si="22"/>
        <v>9052.66</v>
      </c>
      <c r="H26" s="11">
        <f t="shared" si="22"/>
        <v>9396.66</v>
      </c>
      <c r="I26" s="11">
        <f t="shared" si="22"/>
        <v>9772.5300000000007</v>
      </c>
      <c r="J26" s="11">
        <f t="shared" si="22"/>
        <v>10163.43</v>
      </c>
      <c r="K26" s="7"/>
    </row>
    <row r="27" spans="1:11" x14ac:dyDescent="0.25">
      <c r="A27" s="7">
        <v>13</v>
      </c>
      <c r="B27" s="7" t="s">
        <v>40</v>
      </c>
      <c r="C27" s="24"/>
      <c r="D27" s="11"/>
      <c r="E27" s="11"/>
      <c r="F27" s="11"/>
      <c r="G27" s="11"/>
      <c r="H27" s="11"/>
      <c r="I27" s="11"/>
      <c r="J27" s="11"/>
      <c r="K27" s="7"/>
    </row>
    <row r="28" spans="1:11" x14ac:dyDescent="0.25">
      <c r="A28" s="7">
        <v>14</v>
      </c>
      <c r="B28" s="7" t="s">
        <v>41</v>
      </c>
      <c r="C28" s="24"/>
      <c r="D28" s="25"/>
      <c r="E28" s="25"/>
      <c r="F28" s="25"/>
      <c r="G28" s="25"/>
      <c r="H28" s="25"/>
      <c r="I28" s="11"/>
      <c r="J28" s="11"/>
      <c r="K28" s="7"/>
    </row>
    <row r="29" spans="1:11" x14ac:dyDescent="0.25">
      <c r="A29" s="7">
        <v>15</v>
      </c>
      <c r="B29" s="7" t="s">
        <v>42</v>
      </c>
      <c r="C29" s="24"/>
      <c r="D29" s="25"/>
      <c r="E29" s="25"/>
      <c r="F29" s="25"/>
      <c r="G29" s="25"/>
      <c r="H29" s="25"/>
      <c r="I29" s="11"/>
      <c r="J29" s="11"/>
      <c r="K29" s="7"/>
    </row>
    <row r="30" spans="1:11" x14ac:dyDescent="0.25">
      <c r="A30" s="7">
        <v>16</v>
      </c>
      <c r="B30" s="7" t="s">
        <v>43</v>
      </c>
      <c r="K30" s="26"/>
    </row>
    <row r="31" spans="1:11" x14ac:dyDescent="0.25">
      <c r="A31" s="7">
        <v>18</v>
      </c>
      <c r="B31" s="27" t="s">
        <v>44</v>
      </c>
      <c r="C31" s="23">
        <f t="shared" ref="C31:I31" si="23">SUM(C32:C35)</f>
        <v>427687000</v>
      </c>
      <c r="D31" s="23">
        <f t="shared" si="23"/>
        <v>440945297</v>
      </c>
      <c r="E31" s="23">
        <f t="shared" si="23"/>
        <v>461228780.66000003</v>
      </c>
      <c r="F31" s="23">
        <f t="shared" si="23"/>
        <v>478294245.55000001</v>
      </c>
      <c r="G31" s="23">
        <f t="shared" si="23"/>
        <v>497904309.62000006</v>
      </c>
      <c r="H31" s="23">
        <f t="shared" si="23"/>
        <v>516824673.38000005</v>
      </c>
      <c r="I31" s="23">
        <f t="shared" si="23"/>
        <v>537497660.32000005</v>
      </c>
      <c r="J31" s="23">
        <f>SUM(J32:J35)</f>
        <v>558997566.7299999</v>
      </c>
      <c r="K31" s="7" t="s">
        <v>45</v>
      </c>
    </row>
    <row r="32" spans="1:11" x14ac:dyDescent="0.25">
      <c r="A32" s="7">
        <v>19</v>
      </c>
      <c r="B32" s="7" t="s">
        <v>46</v>
      </c>
      <c r="C32" s="8">
        <v>420000000</v>
      </c>
      <c r="D32" s="8">
        <f>ROUND(C32*D$12,2)</f>
        <v>433020000</v>
      </c>
      <c r="E32" s="8">
        <f t="shared" ref="E32:J32" si="24">ROUND(D32*E$12,2)</f>
        <v>452938920</v>
      </c>
      <c r="F32" s="8">
        <f t="shared" si="24"/>
        <v>469697660.04000002</v>
      </c>
      <c r="G32" s="8">
        <f t="shared" si="24"/>
        <v>488955264.10000002</v>
      </c>
      <c r="H32" s="8">
        <f>ROUND(G32*H$12,2)</f>
        <v>507535564.13999999</v>
      </c>
      <c r="I32" s="8">
        <f t="shared" si="24"/>
        <v>527836986.70999998</v>
      </c>
      <c r="J32" s="8">
        <f t="shared" si="24"/>
        <v>548950466.17999995</v>
      </c>
      <c r="K32" s="7"/>
    </row>
    <row r="33" spans="1:11" x14ac:dyDescent="0.25">
      <c r="A33" s="7">
        <v>20</v>
      </c>
      <c r="B33" s="7" t="s">
        <v>47</v>
      </c>
      <c r="C33" s="8">
        <v>117000</v>
      </c>
      <c r="D33" s="8">
        <f>ROUND(C33*D$12,2)</f>
        <v>120627</v>
      </c>
      <c r="E33" s="8">
        <f t="shared" ref="D33:J35" si="25">ROUND(D33*E$12,2)</f>
        <v>126175.84</v>
      </c>
      <c r="F33" s="8">
        <f t="shared" si="25"/>
        <v>130844.35</v>
      </c>
      <c r="G33" s="8">
        <f t="shared" si="25"/>
        <v>136208.97</v>
      </c>
      <c r="H33" s="8">
        <f t="shared" si="25"/>
        <v>141384.91</v>
      </c>
      <c r="I33" s="8">
        <f t="shared" si="25"/>
        <v>147040.31</v>
      </c>
      <c r="J33" s="8">
        <f t="shared" si="25"/>
        <v>152921.92000000001</v>
      </c>
      <c r="K33" s="7"/>
    </row>
    <row r="34" spans="1:11" x14ac:dyDescent="0.25">
      <c r="A34" s="7">
        <v>21</v>
      </c>
      <c r="B34" s="7" t="s">
        <v>48</v>
      </c>
      <c r="C34" s="8">
        <v>2970000</v>
      </c>
      <c r="D34" s="8">
        <f t="shared" si="25"/>
        <v>3062070</v>
      </c>
      <c r="E34" s="8">
        <f t="shared" si="25"/>
        <v>3202925.22</v>
      </c>
      <c r="F34" s="8">
        <f t="shared" si="25"/>
        <v>3321433.45</v>
      </c>
      <c r="G34" s="8">
        <f t="shared" si="25"/>
        <v>3457612.22</v>
      </c>
      <c r="H34" s="8">
        <f t="shared" si="25"/>
        <v>3589001.48</v>
      </c>
      <c r="I34" s="8">
        <f t="shared" si="25"/>
        <v>3732561.54</v>
      </c>
      <c r="J34" s="8">
        <f t="shared" si="25"/>
        <v>3881864</v>
      </c>
      <c r="K34" s="7"/>
    </row>
    <row r="35" spans="1:11" x14ac:dyDescent="0.25">
      <c r="A35" s="7">
        <v>22</v>
      </c>
      <c r="B35" s="7" t="s">
        <v>49</v>
      </c>
      <c r="C35" s="8">
        <v>4600000</v>
      </c>
      <c r="D35" s="8">
        <f t="shared" si="25"/>
        <v>4742600</v>
      </c>
      <c r="E35" s="8">
        <f t="shared" si="25"/>
        <v>4960759.5999999996</v>
      </c>
      <c r="F35" s="8">
        <f t="shared" si="25"/>
        <v>5144307.71</v>
      </c>
      <c r="G35" s="8">
        <f t="shared" si="25"/>
        <v>5355224.33</v>
      </c>
      <c r="H35" s="8">
        <f t="shared" si="25"/>
        <v>5558722.8499999996</v>
      </c>
      <c r="I35" s="8">
        <f>ROUND(H35*I$12,2)</f>
        <v>5781071.7599999998</v>
      </c>
      <c r="J35" s="8">
        <f>ROUND(I35*J$12,2)</f>
        <v>6012314.6299999999</v>
      </c>
      <c r="K35" s="7"/>
    </row>
    <row r="36" spans="1:11" ht="15.75" x14ac:dyDescent="0.25">
      <c r="A36" s="7">
        <v>24</v>
      </c>
      <c r="B36" s="22" t="s">
        <v>50</v>
      </c>
      <c r="C36" s="21">
        <f t="shared" ref="C36:I36" si="26">C31/C5</f>
        <v>34870.525886669384</v>
      </c>
      <c r="D36" s="21">
        <f t="shared" si="26"/>
        <v>35849.21113821138</v>
      </c>
      <c r="E36" s="21">
        <f t="shared" si="26"/>
        <v>41181.141130357144</v>
      </c>
      <c r="F36" s="21">
        <f t="shared" si="26"/>
        <v>45883.945275326172</v>
      </c>
      <c r="G36" s="21">
        <f t="shared" si="26"/>
        <v>48576.030206829273</v>
      </c>
      <c r="H36" s="21">
        <f t="shared" si="26"/>
        <v>52694.195899265913</v>
      </c>
      <c r="I36" s="21">
        <f t="shared" si="26"/>
        <v>57271.993640916364</v>
      </c>
      <c r="J36" s="21">
        <f>J31/J5</f>
        <v>62249.172241648099</v>
      </c>
      <c r="K36" s="7" t="s">
        <v>51</v>
      </c>
    </row>
    <row r="37" spans="1:11" ht="31.5" x14ac:dyDescent="0.25">
      <c r="A37" s="7">
        <v>25</v>
      </c>
      <c r="B37" s="14" t="s">
        <v>52</v>
      </c>
      <c r="C37" s="15">
        <f t="shared" ref="C37:I37" si="27">ROUND(C19*C5/1000000,2)</f>
        <v>1129.9000000000001</v>
      </c>
      <c r="D37" s="15">
        <f t="shared" si="27"/>
        <v>1168.25</v>
      </c>
      <c r="E37" s="15">
        <f t="shared" si="27"/>
        <v>1112.7</v>
      </c>
      <c r="F37" s="15">
        <f t="shared" si="27"/>
        <v>1073.93</v>
      </c>
      <c r="G37" s="15">
        <f t="shared" si="27"/>
        <v>1099.3</v>
      </c>
      <c r="H37" s="15">
        <f t="shared" si="27"/>
        <v>1091.8599999999999</v>
      </c>
      <c r="I37" s="15">
        <f t="shared" si="27"/>
        <v>1086.57</v>
      </c>
      <c r="J37" s="15">
        <f>ROUND(J19*J5/1000000,2)</f>
        <v>1081.26</v>
      </c>
      <c r="K37" s="13" t="s">
        <v>53</v>
      </c>
    </row>
    <row r="38" spans="1:11" ht="31.5" x14ac:dyDescent="0.25">
      <c r="A38" s="16" t="s">
        <v>54</v>
      </c>
      <c r="B38" s="14" t="s">
        <v>24</v>
      </c>
      <c r="C38" s="15">
        <f t="shared" ref="C38:I38" si="28">ROUND(C19*C6/1000000,2)</f>
        <v>915.71</v>
      </c>
      <c r="D38" s="15">
        <f t="shared" si="28"/>
        <v>946.76</v>
      </c>
      <c r="E38" s="15">
        <f t="shared" si="28"/>
        <v>901.79</v>
      </c>
      <c r="F38" s="15">
        <f t="shared" si="28"/>
        <v>870.35</v>
      </c>
      <c r="G38" s="15">
        <f t="shared" si="28"/>
        <v>890.91</v>
      </c>
      <c r="H38" s="15">
        <f t="shared" si="28"/>
        <v>884.91</v>
      </c>
      <c r="I38" s="15">
        <f t="shared" si="28"/>
        <v>880.6</v>
      </c>
      <c r="J38" s="15">
        <f>ROUND(J19*J6/1000000,2)</f>
        <v>876.33</v>
      </c>
      <c r="K38" s="13" t="s">
        <v>69</v>
      </c>
    </row>
    <row r="39" spans="1:11" ht="15.75" x14ac:dyDescent="0.25">
      <c r="A39" s="16" t="s">
        <v>55</v>
      </c>
      <c r="B39" s="14" t="s">
        <v>27</v>
      </c>
      <c r="C39" s="15">
        <f t="shared" ref="C39:I39" si="29">ROUND(C19*C7/1000000,2)</f>
        <v>384.98</v>
      </c>
      <c r="D39" s="15">
        <f t="shared" si="29"/>
        <v>406.7</v>
      </c>
      <c r="E39" s="15">
        <f t="shared" si="29"/>
        <v>458.69</v>
      </c>
      <c r="F39" s="15">
        <f t="shared" si="29"/>
        <v>428.89</v>
      </c>
      <c r="G39" s="15">
        <f t="shared" si="29"/>
        <v>397.68</v>
      </c>
      <c r="H39" s="15">
        <f t="shared" si="29"/>
        <v>397.54</v>
      </c>
      <c r="I39" s="15">
        <f t="shared" si="29"/>
        <v>398.16</v>
      </c>
      <c r="J39" s="15">
        <f t="shared" ref="J39" si="30">ROUND(J19*J7/1000000,2)</f>
        <v>398.79</v>
      </c>
      <c r="K39" s="13" t="s">
        <v>56</v>
      </c>
    </row>
    <row r="40" spans="1:11" ht="20.25" x14ac:dyDescent="0.3">
      <c r="A40" s="17"/>
      <c r="B40" s="5"/>
      <c r="C40" s="18"/>
      <c r="D40" s="18"/>
      <c r="E40" s="18"/>
      <c r="F40" s="18"/>
      <c r="G40" s="18"/>
      <c r="H40" s="18"/>
      <c r="I40" s="18"/>
      <c r="J40" s="18"/>
      <c r="K40" s="19"/>
    </row>
    <row r="41" spans="1:11" ht="37.5" x14ac:dyDescent="0.25">
      <c r="A41" s="28">
        <v>26</v>
      </c>
      <c r="B41" s="29" t="s">
        <v>57</v>
      </c>
      <c r="C41" s="15">
        <f t="shared" ref="C41:I43" si="31">ROUND(C15+C37,2)</f>
        <v>18621.53</v>
      </c>
      <c r="D41" s="15">
        <f t="shared" si="31"/>
        <v>19580.2</v>
      </c>
      <c r="E41" s="15">
        <f t="shared" si="31"/>
        <v>20236.72</v>
      </c>
      <c r="F41" s="15">
        <f t="shared" si="31"/>
        <v>20604.36</v>
      </c>
      <c r="G41" s="15">
        <f t="shared" si="31"/>
        <v>21411.66</v>
      </c>
      <c r="H41" s="15">
        <f t="shared" si="31"/>
        <v>21349.7</v>
      </c>
      <c r="I41" s="15">
        <f t="shared" si="31"/>
        <v>21253.67</v>
      </c>
      <c r="J41" s="15">
        <f t="shared" ref="J41" si="32">ROUND(J15+J37,2)</f>
        <v>21154.11</v>
      </c>
      <c r="K41" s="7" t="s">
        <v>58</v>
      </c>
    </row>
    <row r="42" spans="1:11" ht="37.5" x14ac:dyDescent="0.25">
      <c r="A42" s="28" t="s">
        <v>59</v>
      </c>
      <c r="B42" s="29" t="s">
        <v>24</v>
      </c>
      <c r="C42" s="15">
        <f>ROUND(C16+C38,2)</f>
        <v>15091.54</v>
      </c>
      <c r="D42" s="15">
        <f t="shared" si="31"/>
        <v>15867.94</v>
      </c>
      <c r="E42" s="15">
        <f t="shared" si="31"/>
        <v>16400.75</v>
      </c>
      <c r="F42" s="15">
        <f t="shared" si="31"/>
        <v>16698.52</v>
      </c>
      <c r="G42" s="15">
        <f t="shared" si="31"/>
        <v>17352.830000000002</v>
      </c>
      <c r="H42" s="15">
        <f t="shared" si="31"/>
        <v>17303.07</v>
      </c>
      <c r="I42" s="15">
        <f t="shared" si="31"/>
        <v>17224.87</v>
      </c>
      <c r="J42" s="15">
        <f t="shared" ref="J42" si="33">ROUND(J16+J38,2)</f>
        <v>17144.75</v>
      </c>
      <c r="K42" s="7" t="s">
        <v>60</v>
      </c>
    </row>
    <row r="43" spans="1:11" ht="37.5" x14ac:dyDescent="0.25">
      <c r="A43" s="28" t="s">
        <v>61</v>
      </c>
      <c r="B43" s="29" t="s">
        <v>27</v>
      </c>
      <c r="C43" s="15">
        <f>ROUND(C17+C39,2)</f>
        <v>6344.82</v>
      </c>
      <c r="D43" s="15">
        <f t="shared" si="31"/>
        <v>6816.46</v>
      </c>
      <c r="E43" s="15">
        <f t="shared" si="31"/>
        <v>8342.19</v>
      </c>
      <c r="F43" s="15">
        <f t="shared" si="31"/>
        <v>8228.66</v>
      </c>
      <c r="G43" s="15">
        <f t="shared" si="31"/>
        <v>7745.79</v>
      </c>
      <c r="H43" s="15">
        <f t="shared" si="31"/>
        <v>7773.2</v>
      </c>
      <c r="I43" s="15">
        <f t="shared" si="31"/>
        <v>7788.13</v>
      </c>
      <c r="J43" s="15">
        <f t="shared" ref="J43" si="34">ROUND(J17+J39,2)</f>
        <v>7802.06</v>
      </c>
      <c r="K43" s="7" t="s">
        <v>62</v>
      </c>
    </row>
    <row r="44" spans="1:11" ht="20.25" x14ac:dyDescent="0.3">
      <c r="A44" s="17"/>
      <c r="B44" s="5"/>
      <c r="C44" s="18"/>
      <c r="D44" s="18"/>
      <c r="E44" s="18"/>
      <c r="F44" s="18"/>
      <c r="G44" s="18"/>
      <c r="H44" s="18"/>
      <c r="I44" s="18"/>
      <c r="J44" s="18"/>
      <c r="K44" s="19"/>
    </row>
    <row r="45" spans="1:11" s="33" customFormat="1" ht="15.75" x14ac:dyDescent="0.25">
      <c r="A45" s="30">
        <v>27</v>
      </c>
      <c r="B45" s="31" t="s">
        <v>63</v>
      </c>
      <c r="C45" s="32">
        <f>C41/C46</f>
        <v>9.972656707932329E-3</v>
      </c>
      <c r="D45" s="32">
        <f t="shared" ref="D45:I45" si="35">D41/D46</f>
        <v>1.0105194620809025E-2</v>
      </c>
      <c r="E45" s="32">
        <f t="shared" si="35"/>
        <v>9.5659132068436487E-3</v>
      </c>
      <c r="F45" s="32">
        <f t="shared" si="35"/>
        <v>8.4435146158888807E-3</v>
      </c>
      <c r="G45" s="32">
        <f t="shared" si="35"/>
        <v>8.2852749188185339E-3</v>
      </c>
      <c r="H45" s="32">
        <f t="shared" si="35"/>
        <v>7.9588626214720688E-3</v>
      </c>
      <c r="I45" s="32">
        <f t="shared" si="35"/>
        <v>7.6183307805488109E-3</v>
      </c>
      <c r="J45" s="32">
        <f>J41/J46</f>
        <v>7.2910035767268667E-3</v>
      </c>
      <c r="K45" s="30" t="s">
        <v>70</v>
      </c>
    </row>
    <row r="46" spans="1:11" s="33" customFormat="1" ht="15.75" x14ac:dyDescent="0.25">
      <c r="A46" s="40" t="s">
        <v>71</v>
      </c>
      <c r="B46" s="31" t="s">
        <v>64</v>
      </c>
      <c r="C46" s="34">
        <v>1867258.7</v>
      </c>
      <c r="D46" s="34">
        <v>1937637.1</v>
      </c>
      <c r="E46" s="34">
        <v>2115503.2000000002</v>
      </c>
      <c r="F46" s="34">
        <v>2440258.7000000002</v>
      </c>
      <c r="G46" s="34">
        <v>2584302.9</v>
      </c>
      <c r="H46" s="34">
        <f>G46*H12</f>
        <v>2682506.4101999998</v>
      </c>
      <c r="I46" s="34">
        <f t="shared" ref="H46:J46" si="36">H46*I12</f>
        <v>2789806.6666079997</v>
      </c>
      <c r="J46" s="34">
        <f>I46*J12</f>
        <v>2901398.9332723198</v>
      </c>
      <c r="K46" s="30"/>
    </row>
  </sheetData>
  <mergeCells count="1">
    <mergeCell ref="B1:F1"/>
  </mergeCells>
  <pageMargins left="0.31496062992125984" right="0.31496062992125984" top="0.35433070866141736" bottom="0.35433070866141736" header="0.31496062992125984" footer="0.31496062992125984"/>
  <pageSetup paperSize="9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Багаутдинова</dc:creator>
  <cp:lastModifiedBy>Казанцева Лариса Федоровна</cp:lastModifiedBy>
  <cp:lastPrinted>2019-01-18T13:14:29Z</cp:lastPrinted>
  <dcterms:created xsi:type="dcterms:W3CDTF">2017-10-13T09:39:06Z</dcterms:created>
  <dcterms:modified xsi:type="dcterms:W3CDTF">2020-02-06T08:01:57Z</dcterms:modified>
</cp:coreProperties>
</file>