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Материалы на сайт\От Мубиновой\Недостающие модели на сайте\"/>
    </mc:Choice>
  </mc:AlternateContent>
  <bookViews>
    <workbookView xWindow="0" yWindow="0" windowWidth="28800" windowHeight="12585"/>
  </bookViews>
  <sheets>
    <sheet name="Вариант 1 (2)" sheetId="7" r:id="rId1"/>
  </sheets>
  <definedNames>
    <definedName name="_xlnm.Print_Titles" localSheetId="0">'Вариант 1 (2)'!$2:$3</definedName>
    <definedName name="_xlnm.Print_Area" localSheetId="0">'Вариант 1 (2)'!$A$1:$M$54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7" l="1"/>
  <c r="U37" i="7"/>
  <c r="M37" i="7"/>
  <c r="L37" i="7"/>
  <c r="M42" i="7"/>
  <c r="X42" i="7"/>
  <c r="W42" i="7"/>
  <c r="V42" i="7"/>
  <c r="X37" i="7"/>
  <c r="W37" i="7"/>
  <c r="K32" i="7" l="1"/>
  <c r="W32" i="7" s="1"/>
  <c r="L16" i="7"/>
  <c r="W16" i="7"/>
  <c r="M15" i="7"/>
  <c r="L15" i="7"/>
  <c r="M10" i="7"/>
  <c r="M9" i="7"/>
  <c r="X10" i="7"/>
  <c r="J13" i="7"/>
  <c r="K9" i="7"/>
  <c r="X9" i="7" s="1"/>
  <c r="X19" i="7"/>
  <c r="W20" i="7"/>
  <c r="M43" i="7"/>
  <c r="M8" i="7"/>
  <c r="M5" i="7"/>
  <c r="M7" i="7" l="1"/>
  <c r="Q42" i="7"/>
  <c r="R42" i="7"/>
  <c r="S42" i="7"/>
  <c r="P42" i="7"/>
  <c r="H42" i="7"/>
  <c r="T42" i="7" s="1"/>
  <c r="U42" i="7" l="1"/>
  <c r="P37" i="7"/>
  <c r="C32" i="7"/>
  <c r="R37" i="7"/>
  <c r="S37" i="7"/>
  <c r="T37" i="7"/>
  <c r="V37" i="7"/>
  <c r="Q37" i="7"/>
  <c r="J32" i="7" l="1"/>
  <c r="I32" i="7"/>
  <c r="H32" i="7"/>
  <c r="G32" i="7"/>
  <c r="F32" i="7"/>
  <c r="E32" i="7"/>
  <c r="D32" i="7"/>
  <c r="P32" i="7" s="1"/>
  <c r="W19" i="7"/>
  <c r="O19" i="7"/>
  <c r="Q19" i="7"/>
  <c r="R19" i="7"/>
  <c r="S19" i="7"/>
  <c r="P19" i="7"/>
  <c r="L32" i="7" l="1"/>
  <c r="S32" i="7"/>
  <c r="Q32" i="7"/>
  <c r="U32" i="7"/>
  <c r="R32" i="7"/>
  <c r="V32" i="7"/>
  <c r="T32" i="7"/>
  <c r="W9" i="7"/>
  <c r="V9" i="7"/>
  <c r="U9" i="7"/>
  <c r="T9" i="7"/>
  <c r="S9" i="7"/>
  <c r="R9" i="7"/>
  <c r="Q9" i="7"/>
  <c r="P9" i="7"/>
  <c r="S10" i="7"/>
  <c r="R10" i="7"/>
  <c r="Q10" i="7"/>
  <c r="P10" i="7"/>
  <c r="V15" i="7"/>
  <c r="Q15" i="7"/>
  <c r="R15" i="7"/>
  <c r="S15" i="7"/>
  <c r="T15" i="7"/>
  <c r="U15" i="7"/>
  <c r="P15" i="7"/>
  <c r="V16" i="7"/>
  <c r="U16" i="7"/>
  <c r="Q16" i="7"/>
  <c r="R16" i="7"/>
  <c r="S16" i="7"/>
  <c r="T16" i="7"/>
  <c r="P16" i="7"/>
  <c r="J11" i="7"/>
  <c r="X32" i="7" l="1"/>
  <c r="M32" i="7" s="1"/>
  <c r="M11" i="7"/>
  <c r="M47" i="7" s="1"/>
  <c r="K33" i="7"/>
  <c r="I11" i="7"/>
  <c r="H11" i="7"/>
  <c r="E8" i="7"/>
  <c r="F8" i="7"/>
  <c r="G8" i="7"/>
  <c r="H8" i="7"/>
  <c r="I8" i="7"/>
  <c r="D8" i="7"/>
  <c r="K5" i="7"/>
  <c r="L5" i="7"/>
  <c r="E5" i="7"/>
  <c r="F5" i="7"/>
  <c r="G5" i="7"/>
  <c r="H5" i="7"/>
  <c r="I5" i="7"/>
  <c r="J5" i="7"/>
  <c r="D5" i="7"/>
  <c r="L7" i="7"/>
  <c r="K7" i="7"/>
  <c r="I7" i="7"/>
  <c r="I10" i="7"/>
  <c r="V19" i="7"/>
  <c r="I33" i="7"/>
  <c r="J33" i="7"/>
  <c r="I38" i="7"/>
  <c r="I35" i="7" s="1"/>
  <c r="J38" i="7"/>
  <c r="J35" i="7" s="1"/>
  <c r="K38" i="7" l="1"/>
  <c r="K35" i="7" s="1"/>
  <c r="U19" i="7"/>
  <c r="W15" i="7"/>
  <c r="X15" i="7"/>
  <c r="W10" i="7"/>
  <c r="V10" i="7"/>
  <c r="I30" i="7"/>
  <c r="I27" i="7" s="1"/>
  <c r="I19" i="7"/>
  <c r="I24" i="7" s="1"/>
  <c r="L11" i="7"/>
  <c r="K19" i="7"/>
  <c r="K25" i="7" s="1"/>
  <c r="K30" i="7"/>
  <c r="L8" i="7"/>
  <c r="J19" i="7"/>
  <c r="K8" i="7"/>
  <c r="J30" i="7"/>
  <c r="J27" i="7" s="1"/>
  <c r="J7" i="7"/>
  <c r="J8" i="7"/>
  <c r="M38" i="7" l="1"/>
  <c r="M33" i="7"/>
  <c r="X20" i="7"/>
  <c r="M13" i="7"/>
  <c r="K27" i="7"/>
  <c r="I25" i="7"/>
  <c r="J24" i="7"/>
  <c r="L38" i="7"/>
  <c r="L33" i="7"/>
  <c r="K24" i="7"/>
  <c r="J25" i="7"/>
  <c r="J21" i="7" s="1"/>
  <c r="J17" i="7" s="1"/>
  <c r="J40" i="7" s="1"/>
  <c r="I21" i="7"/>
  <c r="I17" i="7" s="1"/>
  <c r="I40" i="7" s="1"/>
  <c r="M14" i="7" l="1"/>
  <c r="M19" i="7"/>
  <c r="K21" i="7"/>
  <c r="K17" i="7" s="1"/>
  <c r="K40" i="7" s="1"/>
  <c r="L13" i="7"/>
  <c r="H38" i="7"/>
  <c r="H35" i="7" s="1"/>
  <c r="E38" i="7"/>
  <c r="F38" i="7"/>
  <c r="G38" i="7"/>
  <c r="D38" i="7"/>
  <c r="H33" i="7"/>
  <c r="H30" i="7" s="1"/>
  <c r="H10" i="7"/>
  <c r="H7" i="7"/>
  <c r="G7" i="7"/>
  <c r="F7" i="7"/>
  <c r="E7" i="7"/>
  <c r="D7" i="7"/>
  <c r="C7" i="7"/>
  <c r="M25" i="7" l="1"/>
  <c r="M24" i="7"/>
  <c r="H19" i="7"/>
  <c r="H25" i="7" s="1"/>
  <c r="T19" i="7"/>
  <c r="T10" i="7"/>
  <c r="U10" i="7"/>
  <c r="L14" i="7"/>
  <c r="L19" i="7"/>
  <c r="I43" i="7"/>
  <c r="I47" i="7"/>
  <c r="I49" i="7"/>
  <c r="I51" i="7"/>
  <c r="H51" i="7"/>
  <c r="H49" i="7"/>
  <c r="H47" i="7"/>
  <c r="H27" i="7"/>
  <c r="H43" i="7"/>
  <c r="H24" i="7" l="1"/>
  <c r="H21" i="7" s="1"/>
  <c r="H17" i="7" s="1"/>
  <c r="H40" i="7" s="1"/>
  <c r="L24" i="7"/>
  <c r="L25" i="7"/>
  <c r="H44" i="7"/>
  <c r="J49" i="7"/>
  <c r="J51" i="7"/>
  <c r="J47" i="7"/>
  <c r="J43" i="7"/>
  <c r="I44" i="7"/>
  <c r="I53" i="7" s="1"/>
  <c r="K43" i="7" l="1"/>
  <c r="J44" i="7"/>
  <c r="J53" i="7" s="1"/>
  <c r="K47" i="7"/>
  <c r="K51" i="7"/>
  <c r="K49" i="7"/>
  <c r="L43" i="7" l="1"/>
  <c r="L47" i="7"/>
  <c r="K44" i="7"/>
  <c r="K53" i="7" s="1"/>
  <c r="H53" i="7" l="1"/>
  <c r="L35" i="7" l="1"/>
  <c r="L51" i="7"/>
  <c r="L49" i="7"/>
  <c r="L30" i="7"/>
  <c r="X16" i="7"/>
  <c r="M16" i="7" s="1"/>
  <c r="M51" i="7"/>
  <c r="L27" i="7" l="1"/>
  <c r="L21" i="7" s="1"/>
  <c r="L17" i="7" s="1"/>
  <c r="L40" i="7" s="1"/>
  <c r="L44" i="7"/>
  <c r="L53" i="7" s="1"/>
  <c r="M49" i="7"/>
  <c r="M44" i="7" s="1"/>
  <c r="M53" i="7" s="1"/>
  <c r="M30" i="7"/>
  <c r="M35" i="7"/>
  <c r="M27" i="7" l="1"/>
  <c r="M21" i="7" s="1"/>
  <c r="M17" i="7" s="1"/>
  <c r="M40" i="7" s="1"/>
</calcChain>
</file>

<file path=xl/comments1.xml><?xml version="1.0" encoding="utf-8"?>
<comments xmlns="http://schemas.openxmlformats.org/spreadsheetml/2006/main">
  <authors>
    <author>Казанцева Лариса Федоровна</author>
    <author>Казанцева Л.Ф.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по предприятиям и организациям, не относящимся к субъектам малого предпринимательства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  <charset val="204"/>
          </rPr>
          <t>Казанцева Л.Ф.:</t>
        </r>
        <r>
          <rPr>
            <sz val="9"/>
            <color indexed="81"/>
            <rFont val="Tahoma"/>
            <family val="2"/>
            <charset val="204"/>
          </rPr>
          <t xml:space="preserve">
30,2% - ЕСН</t>
        </r>
      </text>
    </comment>
    <comment ref="H25" authorId="1" shapeId="0">
      <text>
        <r>
          <rPr>
            <b/>
            <sz val="9"/>
            <color indexed="81"/>
            <rFont val="Tahoma"/>
            <family val="2"/>
            <charset val="204"/>
          </rPr>
          <t>Казанцева Л.Ф.:</t>
        </r>
        <r>
          <rPr>
            <sz val="9"/>
            <color indexed="81"/>
            <rFont val="Tahoma"/>
            <family val="2"/>
            <charset val="204"/>
          </rPr>
          <t xml:space="preserve">
30,2% - ЕСН</t>
        </r>
      </text>
    </comment>
  </commentList>
</comments>
</file>

<file path=xl/sharedStrings.xml><?xml version="1.0" encoding="utf-8"?>
<sst xmlns="http://schemas.openxmlformats.org/spreadsheetml/2006/main" count="98" uniqueCount="96">
  <si>
    <t>Наименование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</si>
  <si>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</si>
  <si>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</si>
  <si>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</si>
  <si>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</si>
  <si>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</si>
  <si>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</si>
  <si>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</si>
  <si>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</si>
  <si>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1.</t>
  </si>
  <si>
    <t>2.</t>
  </si>
  <si>
    <t>3.</t>
  </si>
  <si>
    <t>4.</t>
  </si>
  <si>
    <t>5.</t>
  </si>
  <si>
    <t>6.</t>
  </si>
  <si>
    <t>7.</t>
  </si>
  <si>
    <t>8.</t>
  </si>
  <si>
    <t>11.</t>
  </si>
  <si>
    <t>12.</t>
  </si>
  <si>
    <t>13.</t>
  </si>
  <si>
    <t>14.</t>
  </si>
  <si>
    <t>15.</t>
  </si>
  <si>
    <r>
      <t xml:space="preserve">Занятые на «сером» рынке труда, </t>
    </r>
    <r>
      <rPr>
        <sz val="12"/>
        <color theme="1"/>
        <rFont val="Times New Roman"/>
        <family val="1"/>
        <charset val="204"/>
      </rPr>
      <t>тыс.человек</t>
    </r>
  </si>
  <si>
    <r>
      <t>Темп снижения занятых на «сером» рынке труда,</t>
    </r>
    <r>
      <rPr>
        <sz val="12"/>
        <color theme="1"/>
        <rFont val="Times New Roman"/>
        <family val="1"/>
        <charset val="204"/>
      </rPr>
      <t xml:space="preserve"> в % </t>
    </r>
    <r>
      <rPr>
        <sz val="11"/>
        <color theme="1"/>
        <rFont val="Times New Roman"/>
        <family val="1"/>
        <charset val="204"/>
      </rPr>
      <t>к предыдущему году</t>
    </r>
  </si>
  <si>
    <t>17.</t>
  </si>
  <si>
    <t>18.</t>
  </si>
  <si>
    <t>в том числе:</t>
  </si>
  <si>
    <t>19.</t>
  </si>
  <si>
    <r>
      <t xml:space="preserve">Расходы на образование, здравоохранение, культуру, предусмотренные в бюджете РТ в расчете на 1-го жителя РТ, </t>
    </r>
    <r>
      <rPr>
        <sz val="12"/>
        <color theme="1"/>
        <rFont val="Times New Roman"/>
        <family val="1"/>
        <charset val="204"/>
      </rPr>
      <t>тыс.рублей</t>
    </r>
  </si>
  <si>
    <r>
      <t xml:space="preserve">Расходы бюджета на образование, здравоохранение, культуру, приходящиеся на безработных и их детей, </t>
    </r>
    <r>
      <rPr>
        <sz val="12"/>
        <color theme="1"/>
        <rFont val="Times New Roman"/>
        <family val="1"/>
        <charset val="204"/>
      </rPr>
      <t>млрд.рублей</t>
    </r>
  </si>
  <si>
    <t>20.</t>
  </si>
  <si>
    <t>21.</t>
  </si>
  <si>
    <t>Суммарный коэффициент рождаемости</t>
  </si>
  <si>
    <t>22.</t>
  </si>
  <si>
    <t>10.</t>
  </si>
  <si>
    <r>
      <t xml:space="preserve">Темп роста фодна оплаты труда, </t>
    </r>
    <r>
      <rPr>
        <sz val="11"/>
        <color theme="1"/>
        <rFont val="Times New Roman"/>
        <family val="1"/>
        <charset val="204"/>
      </rPr>
      <t>в % к предыдущему году</t>
    </r>
  </si>
  <si>
    <r>
      <t xml:space="preserve">Темп роста ВРП РТ, </t>
    </r>
    <r>
      <rPr>
        <sz val="11"/>
        <color theme="1"/>
        <rFont val="Times New Roman"/>
        <family val="1"/>
        <charset val="204"/>
      </rPr>
      <t>в действующих ценах, в % к предыдущему году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</si>
  <si>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>Прямые потери (упущенный объем ВРП) от общей безработицы, превышающий ее предельно допустимый уровень (</t>
    </r>
    <r>
      <rPr>
        <sz val="12"/>
        <color theme="1"/>
        <rFont val="Times New Roman"/>
        <family val="1"/>
        <charset val="204"/>
      </rPr>
      <t>по международным стандартам – 0,7%</t>
    </r>
    <r>
      <rPr>
        <b/>
        <sz val="12"/>
        <color theme="1"/>
        <rFont val="Times New Roman"/>
        <family val="1"/>
        <charset val="204"/>
      </rPr>
      <t xml:space="preserve">), </t>
    </r>
    <r>
      <rPr>
        <sz val="12"/>
        <color theme="1"/>
        <rFont val="Times New Roman"/>
        <family val="1"/>
        <charset val="204"/>
      </rPr>
      <t>млрд.рублей</t>
    </r>
  </si>
  <si>
    <r>
      <t xml:space="preserve">Производительность труда,  </t>
    </r>
    <r>
      <rPr>
        <sz val="12"/>
        <color theme="1"/>
        <rFont val="Times New Roman"/>
        <family val="1"/>
        <charset val="204"/>
      </rPr>
      <t>тыс.рублей</t>
    </r>
  </si>
  <si>
    <r>
      <t>Косвенные потери – Всего,</t>
    </r>
    <r>
      <rPr>
        <sz val="12"/>
        <color theme="1"/>
        <rFont val="Times New Roman"/>
        <family val="1"/>
        <charset val="204"/>
      </rPr>
      <t xml:space="preserve"> млрд.рублей</t>
    </r>
  </si>
  <si>
    <r>
      <t xml:space="preserve">Недополученный объем ВРП РТ в связи с наличием безработицы, </t>
    </r>
    <r>
      <rPr>
        <sz val="12"/>
        <color theme="1"/>
        <rFont val="Times New Roman"/>
        <family val="1"/>
        <charset val="204"/>
      </rPr>
      <t>млрд.рублей:</t>
    </r>
  </si>
  <si>
    <r>
      <t>ФОТ РТ,</t>
    </r>
    <r>
      <rPr>
        <sz val="12"/>
        <color theme="1"/>
        <rFont val="Times New Roman"/>
        <family val="1"/>
        <charset val="204"/>
      </rPr>
      <t xml:space="preserve"> млн.рублей</t>
    </r>
  </si>
  <si>
    <r>
      <t xml:space="preserve">ВРП РТ, </t>
    </r>
    <r>
      <rPr>
        <sz val="11"/>
        <color theme="1"/>
        <rFont val="Times New Roman"/>
        <family val="1"/>
        <charset val="204"/>
      </rPr>
      <t>млн.рублей</t>
    </r>
  </si>
  <si>
    <r>
      <t>Доля ФОТ РТ в ВРП РТ,</t>
    </r>
    <r>
      <rPr>
        <sz val="12"/>
        <color theme="1"/>
        <rFont val="Times New Roman"/>
        <family val="1"/>
        <charset val="204"/>
      </rPr>
      <t xml:space="preserve"> в %</t>
    </r>
  </si>
  <si>
    <r>
      <t>Численность безработных, рассчитанная по методологии МОТ,</t>
    </r>
    <r>
      <rPr>
        <sz val="12"/>
        <color theme="1"/>
        <rFont val="Times New Roman"/>
        <family val="1"/>
        <charset val="204"/>
      </rPr>
      <t xml:space="preserve"> тыс.человек</t>
    </r>
  </si>
  <si>
    <r>
      <t xml:space="preserve">Уровень безработицы (по методологии МОТ), </t>
    </r>
    <r>
      <rPr>
        <sz val="12"/>
        <color theme="1"/>
        <rFont val="Times New Roman"/>
        <family val="1"/>
        <charset val="204"/>
      </rPr>
      <t>в %</t>
    </r>
  </si>
  <si>
    <r>
      <t>Численность постоянного населения РТ (в среднем за год),</t>
    </r>
    <r>
      <rPr>
        <sz val="12"/>
        <color theme="1"/>
        <rFont val="Times New Roman"/>
        <family val="1"/>
        <charset val="204"/>
      </rPr>
      <t xml:space="preserve"> тыс. чел.</t>
    </r>
  </si>
  <si>
    <t>9.</t>
  </si>
  <si>
    <r>
      <t>Недополученная сумма страховых выплат в ПФР, ФОМС и ФСС,</t>
    </r>
    <r>
      <rPr>
        <sz val="12"/>
        <color theme="1"/>
        <rFont val="Times New Roman"/>
        <family val="1"/>
        <charset val="204"/>
      </rPr>
      <t xml:space="preserve"> млрд.рублей</t>
    </r>
  </si>
  <si>
    <r>
      <t>Недополученная сумма НДФЛ,</t>
    </r>
    <r>
      <rPr>
        <sz val="12"/>
        <color theme="1"/>
        <rFont val="Times New Roman"/>
        <family val="1"/>
        <charset val="204"/>
      </rPr>
      <t xml:space="preserve"> млрд.рублей</t>
    </r>
  </si>
  <si>
    <r>
      <t xml:space="preserve">Расходы на предоставление безработным государственных услуг в соц.сфере – ВСЕГО, </t>
    </r>
    <r>
      <rPr>
        <sz val="12"/>
        <color theme="1"/>
        <rFont val="Times New Roman"/>
        <family val="1"/>
        <charset val="204"/>
      </rPr>
      <t>млрд.рублей</t>
    </r>
  </si>
  <si>
    <r>
      <t xml:space="preserve">Расходы на образование, здравоохранение, культуру, предусмотренные в бюджете РТ - ВСЕГО, </t>
    </r>
    <r>
      <rPr>
        <sz val="12"/>
        <color theme="1"/>
        <rFont val="Times New Roman"/>
        <family val="1"/>
        <charset val="204"/>
      </rPr>
      <t>млрд.рублей</t>
    </r>
  </si>
  <si>
    <r>
      <t xml:space="preserve">Расходы на меры, предоставляемые через систему адресной социальной поддержки ВСЕГО, </t>
    </r>
    <r>
      <rPr>
        <sz val="12"/>
        <color theme="1"/>
        <rFont val="Times New Roman"/>
        <family val="1"/>
        <charset val="204"/>
      </rPr>
      <t>млрд.рублей</t>
    </r>
  </si>
  <si>
    <t>Расходы на меры, предоставляемые через систему адресной социальной поддержки безработных и членов их семей, млрд.рублей</t>
  </si>
  <si>
    <t>Влияние безработицы на объем ВРП РТ</t>
  </si>
  <si>
    <t>16.1.</t>
  </si>
  <si>
    <t>16.2.</t>
  </si>
  <si>
    <t>17.1.</t>
  </si>
  <si>
    <t>(стр.13 : стр.1)</t>
  </si>
  <si>
    <t xml:space="preserve"> 17.2</t>
  </si>
  <si>
    <t>17.1.2.</t>
  </si>
  <si>
    <t>17.1.1.</t>
  </si>
  <si>
    <t>(стр.17.1.1 : стр.11)</t>
  </si>
  <si>
    <t xml:space="preserve">(стр. 17.1 + стр. 17.2) </t>
  </si>
  <si>
    <t xml:space="preserve"> 17.2.1.</t>
  </si>
  <si>
    <t xml:space="preserve"> 17.2.2.</t>
  </si>
  <si>
    <t>№ пп</t>
  </si>
  <si>
    <t>(стр.1 : стр.6)</t>
  </si>
  <si>
    <t>(стр.14 + стр.15)</t>
  </si>
  <si>
    <t>(стр.16.1 + стр.16.2 + стр.17)</t>
  </si>
  <si>
    <t>(стр.8 х (стр.10 – стр.7  х 0,7%)/1000)</t>
  </si>
  <si>
    <t>(стр.14 х стр.4 х 13%)</t>
  </si>
  <si>
    <r>
      <t>(</t>
    </r>
    <r>
      <rPr>
        <sz val="10"/>
        <color theme="1"/>
        <rFont val="Times New Roman"/>
        <family val="1"/>
        <charset val="204"/>
      </rPr>
      <t>стр.17.1.2 х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(стр.9 – стр.7 х 0,7%) х стр.12 /1000)</t>
    </r>
  </si>
  <si>
    <r>
      <t>Косвенные потери от занятых на "сером" рынке труда – Всего,</t>
    </r>
    <r>
      <rPr>
        <sz val="12"/>
        <color theme="1"/>
        <rFont val="Times New Roman"/>
        <family val="1"/>
        <charset val="204"/>
      </rPr>
      <t xml:space="preserve"> млрд.рублей</t>
    </r>
  </si>
  <si>
    <r>
      <t>Недополученная сумма НДФЛ и  страховых выплат в ПФР, ФОМС и ФСС,</t>
    </r>
    <r>
      <rPr>
        <sz val="12"/>
        <color theme="1"/>
        <rFont val="Times New Roman"/>
        <family val="1"/>
        <charset val="204"/>
      </rPr>
      <t xml:space="preserve"> млрд.рублей</t>
    </r>
  </si>
  <si>
    <t>21.1.</t>
  </si>
  <si>
    <t>21.2.</t>
  </si>
  <si>
    <t xml:space="preserve"> (стр.19 х стр.8 х  стр.4 х (13%+30,2%)/1000)</t>
  </si>
  <si>
    <t>(стр.21 : стр.1)</t>
  </si>
  <si>
    <t>Влияние занятых на «сером» рынке труда на объем ВРП РТ</t>
  </si>
  <si>
    <r>
      <t xml:space="preserve">Расходы на меры, предоставляемые через систему адресной социальной поддержки в расчете на 1-го жителя в год, </t>
    </r>
    <r>
      <rPr>
        <sz val="12"/>
        <color theme="1"/>
        <rFont val="Times New Roman"/>
        <family val="1"/>
        <charset val="204"/>
      </rPr>
      <t xml:space="preserve"> тыс.рублей</t>
    </r>
  </si>
  <si>
    <t>(стр.17.2.1 : стр.11)</t>
  </si>
  <si>
    <t>(стр.17.2.2. х (стр.9 – стр.7 х 0,7%) х стр.12/1000)</t>
  </si>
  <si>
    <t>21.3.</t>
  </si>
  <si>
    <t>(стр.21.1 + стр.21.2+стр.21.3.)</t>
  </si>
  <si>
    <r>
      <t xml:space="preserve">Расходы на предоставление занятым на "сером" рынке труда и членам их семей государственных услуг в социальной сфере (образование, здравоохранение, культура), </t>
    </r>
    <r>
      <rPr>
        <sz val="12"/>
        <color theme="1"/>
        <rFont val="Times New Roman"/>
        <family val="1"/>
        <charset val="204"/>
      </rPr>
      <t>млрд.рублей</t>
    </r>
  </si>
  <si>
    <r>
      <t xml:space="preserve">Расходы на меры, предоставляемые через систему адресной социальной поддержки занятым на "сером" рынке труда и членам их семей, </t>
    </r>
    <r>
      <rPr>
        <sz val="12"/>
        <color theme="1"/>
        <rFont val="Times New Roman"/>
        <family val="1"/>
        <charset val="204"/>
      </rPr>
      <t>млрд.рублей</t>
    </r>
  </si>
  <si>
    <t>(стр.19. х стр. 17.1.2. х стр. 12/1000)</t>
  </si>
  <si>
    <t>(стр.19. х  стр. 17.2.2. х стр. 12/1000)</t>
  </si>
  <si>
    <t>Оценка влияния показателя уровня безработицы (по методологии МОТ) и "серого" рынка труда на объем валового регионального продукта</t>
  </si>
  <si>
    <r>
      <t xml:space="preserve">Численность занятых в экономике, </t>
    </r>
    <r>
      <rPr>
        <sz val="12"/>
        <color theme="1"/>
        <rFont val="Times New Roman"/>
        <family val="1"/>
        <charset val="204"/>
      </rPr>
      <t>тыс.человек</t>
    </r>
    <r>
      <rPr>
        <b/>
        <sz val="12"/>
        <color theme="1"/>
        <rFont val="Times New Roman"/>
        <family val="1"/>
        <charset val="204"/>
      </rPr>
      <t xml:space="preserve"> </t>
    </r>
  </si>
  <si>
    <t>для прогноза</t>
  </si>
  <si>
    <r>
      <t xml:space="preserve">Экономически активное население (численность рабочей силы), </t>
    </r>
    <r>
      <rPr>
        <sz val="12"/>
        <color theme="1"/>
        <rFont val="Times New Roman"/>
        <family val="1"/>
        <charset val="204"/>
      </rPr>
      <t>тыс.человек</t>
    </r>
  </si>
  <si>
    <t>2018 год</t>
  </si>
  <si>
    <t>2020 год (прогноз)</t>
  </si>
  <si>
    <t>2019 год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</si>
</sst>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#,##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96">
    <xf numFmtId="0" fontId="0" fillId="0" borderId="0" xfId="0"/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0" borderId="0" xfId="0" applyFont="1"/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5" fillId="0" borderId="10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165" fontId="2" fillId="2" borderId="14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"/>
  <sheetViews>
    <sheetView tabSelected="1" view="pageBreakPreview" zoomScaleNormal="100" zoomScaleSheetLayoutView="100" workbookViewId="0">
      <pane xSplit="2" ySplit="3" topLeftCell="H4" activePane="bottomRight" state="frozen"/>
      <selection pane="topRight" activeCell="C1" sqref="C1"/>
      <selection pane="bottomLeft" activeCell="A5" sqref="A5"/>
      <selection pane="bottomRight" activeCell="L16" sqref="L16"/>
    </sheetView>
  </sheetViews>
  <sheetFormatPr defaultRowHeight="15" x14ac:dyDescent="0.25"/>
  <cols>
    <col min="1" max="1" width="7.42578125" style="6" customWidth="1"/>
    <col min="2" max="2" width="85.42578125" style="6" customWidth="1"/>
    <col min="3" max="3" width="9.140625" style="6"/>
    <col min="4" max="4" width="10" style="6" bestFit="1" customWidth="1"/>
    <col min="5" max="7" width="9.140625" style="6"/>
    <col min="8" max="8" width="10" style="6" bestFit="1" customWidth="1"/>
    <col min="9" max="13" width="10" style="6" customWidth="1"/>
    <col min="14" max="14" width="9.140625" style="6"/>
    <col min="15" max="24" width="9.140625" style="6" hidden="1" customWidth="1"/>
    <col min="25" max="16384" width="9.140625" style="6"/>
  </cols>
  <sheetData>
    <row r="1" spans="1:24" ht="35.25" customHeight="1" thickBot="1" x14ac:dyDescent="0.3">
      <c r="B1" s="95" t="s">
        <v>89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4" ht="16.5" customHeight="1" x14ac:dyDescent="0.25">
      <c r="A2" s="64" t="s">
        <v>66</v>
      </c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I2" s="64" t="s">
        <v>7</v>
      </c>
      <c r="J2" s="64" t="s">
        <v>8</v>
      </c>
      <c r="K2" s="70" t="s">
        <v>93</v>
      </c>
      <c r="L2" s="64" t="s">
        <v>95</v>
      </c>
      <c r="M2" s="64" t="s">
        <v>94</v>
      </c>
      <c r="O2" s="59" t="s">
        <v>91</v>
      </c>
      <c r="P2" s="59"/>
      <c r="Q2" s="59"/>
      <c r="R2" s="59"/>
      <c r="S2" s="59"/>
      <c r="T2" s="59"/>
      <c r="U2" s="59"/>
      <c r="V2" s="59"/>
    </row>
    <row r="3" spans="1:24" ht="15.75" customHeight="1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71"/>
      <c r="L3" s="65"/>
      <c r="M3" s="65"/>
      <c r="O3" s="6">
        <v>2010</v>
      </c>
      <c r="P3" s="6">
        <v>2011</v>
      </c>
      <c r="Q3" s="6">
        <v>2012</v>
      </c>
      <c r="R3" s="6">
        <v>2013</v>
      </c>
      <c r="S3" s="6">
        <v>2014</v>
      </c>
      <c r="T3" s="6">
        <v>2015</v>
      </c>
      <c r="U3" s="6">
        <v>2016</v>
      </c>
      <c r="V3" s="6">
        <v>2017</v>
      </c>
      <c r="W3" s="6">
        <v>2018</v>
      </c>
      <c r="X3" s="6">
        <v>2019</v>
      </c>
    </row>
    <row r="4" spans="1:24" ht="22.5" customHeight="1" thickBot="1" x14ac:dyDescent="0.3">
      <c r="A4" s="17" t="s">
        <v>9</v>
      </c>
      <c r="B4" s="19" t="s">
        <v>42</v>
      </c>
      <c r="C4" s="47">
        <v>1001600</v>
      </c>
      <c r="D4" s="48">
        <v>1305900</v>
      </c>
      <c r="E4" s="48">
        <v>1437000</v>
      </c>
      <c r="F4" s="48">
        <v>1551500</v>
      </c>
      <c r="G4" s="48">
        <v>1671400</v>
      </c>
      <c r="H4" s="48">
        <v>1867258.7</v>
      </c>
      <c r="I4" s="48">
        <v>1937637.1</v>
      </c>
      <c r="J4" s="48">
        <v>2115503.2000000002</v>
      </c>
      <c r="K4" s="49">
        <v>2440258.7000000002</v>
      </c>
      <c r="L4" s="48">
        <v>2584302.9</v>
      </c>
      <c r="M4" s="48">
        <v>2702310</v>
      </c>
    </row>
    <row r="5" spans="1:24" ht="22.5" customHeight="1" thickBot="1" x14ac:dyDescent="0.3">
      <c r="A5" s="17" t="s">
        <v>10</v>
      </c>
      <c r="B5" s="18" t="s">
        <v>36</v>
      </c>
      <c r="C5" s="25">
        <v>113.3</v>
      </c>
      <c r="D5" s="31">
        <f>ROUND(D4/C4*100,2)</f>
        <v>130.38</v>
      </c>
      <c r="E5" s="31">
        <f t="shared" ref="E5:J5" si="0">ROUND(E4/D4*100,2)</f>
        <v>110.04</v>
      </c>
      <c r="F5" s="31">
        <f t="shared" si="0"/>
        <v>107.97</v>
      </c>
      <c r="G5" s="31">
        <f t="shared" si="0"/>
        <v>107.73</v>
      </c>
      <c r="H5" s="31">
        <f t="shared" si="0"/>
        <v>111.72</v>
      </c>
      <c r="I5" s="31">
        <f t="shared" si="0"/>
        <v>103.77</v>
      </c>
      <c r="J5" s="31">
        <f t="shared" si="0"/>
        <v>109.18</v>
      </c>
      <c r="K5" s="32">
        <f t="shared" ref="K5" si="1">ROUND(K4/J4*100,2)</f>
        <v>115.35</v>
      </c>
      <c r="L5" s="26">
        <f t="shared" ref="L5:M5" si="2">ROUND(L4/K4*100,2)</f>
        <v>105.9</v>
      </c>
      <c r="M5" s="37">
        <f t="shared" si="2"/>
        <v>104.57</v>
      </c>
    </row>
    <row r="6" spans="1:24" ht="22.5" customHeight="1" thickBot="1" x14ac:dyDescent="0.3">
      <c r="A6" s="11" t="s">
        <v>11</v>
      </c>
      <c r="B6" s="14" t="s">
        <v>41</v>
      </c>
      <c r="C6" s="48">
        <v>283036.79999999999</v>
      </c>
      <c r="D6" s="48">
        <v>327239</v>
      </c>
      <c r="E6" s="48">
        <v>381320.2</v>
      </c>
      <c r="F6" s="48">
        <v>422683.2</v>
      </c>
      <c r="G6" s="48">
        <v>448051.11700000003</v>
      </c>
      <c r="H6" s="48">
        <v>462557.1666</v>
      </c>
      <c r="I6" s="48">
        <v>482352.60369999998</v>
      </c>
      <c r="J6" s="48">
        <v>506532.75799999997</v>
      </c>
      <c r="K6" s="49">
        <v>542400.37609999999</v>
      </c>
      <c r="L6" s="48">
        <v>578840.4</v>
      </c>
      <c r="M6" s="48">
        <v>614858.80000000005</v>
      </c>
    </row>
    <row r="7" spans="1:24" ht="22.5" customHeight="1" thickBot="1" x14ac:dyDescent="0.3">
      <c r="A7" s="24" t="s">
        <v>12</v>
      </c>
      <c r="B7" s="2" t="s">
        <v>43</v>
      </c>
      <c r="C7" s="7">
        <f t="shared" ref="C7:H7" si="3">C6/C4*100</f>
        <v>28.258466453674121</v>
      </c>
      <c r="D7" s="7">
        <f t="shared" si="3"/>
        <v>25.058503713913776</v>
      </c>
      <c r="E7" s="7">
        <f t="shared" si="3"/>
        <v>26.535852470424498</v>
      </c>
      <c r="F7" s="7">
        <f t="shared" si="3"/>
        <v>27.243519174991942</v>
      </c>
      <c r="G7" s="7">
        <f t="shared" si="3"/>
        <v>26.806935323680747</v>
      </c>
      <c r="H7" s="7">
        <f t="shared" si="3"/>
        <v>24.771991508193267</v>
      </c>
      <c r="I7" s="7">
        <f t="shared" ref="I7" si="4">I6/I4*100</f>
        <v>24.893856734060261</v>
      </c>
      <c r="J7" s="7">
        <f t="shared" ref="J7" si="5">J6/J4*100</f>
        <v>23.94384267535024</v>
      </c>
      <c r="K7" s="33">
        <f t="shared" ref="K7:L7" si="6">K6/K4*100</f>
        <v>22.227166984385711</v>
      </c>
      <c r="L7" s="30">
        <f t="shared" si="6"/>
        <v>22.398318711014873</v>
      </c>
      <c r="M7" s="39">
        <f t="shared" ref="M7" si="7">M6/M4*100</f>
        <v>22.753081622759787</v>
      </c>
    </row>
    <row r="8" spans="1:24" ht="22.5" customHeight="1" thickBot="1" x14ac:dyDescent="0.3">
      <c r="A8" s="24" t="s">
        <v>13</v>
      </c>
      <c r="B8" s="1" t="s">
        <v>35</v>
      </c>
      <c r="C8" s="50">
        <v>114.1</v>
      </c>
      <c r="D8" s="50">
        <f>ROUND(D6/C6*100,2)</f>
        <v>115.62</v>
      </c>
      <c r="E8" s="50">
        <f t="shared" ref="E8:M8" si="8">ROUND(E6/D6*100,2)</f>
        <v>116.53</v>
      </c>
      <c r="F8" s="50">
        <f t="shared" si="8"/>
        <v>110.85</v>
      </c>
      <c r="G8" s="50">
        <f t="shared" si="8"/>
        <v>106</v>
      </c>
      <c r="H8" s="50">
        <f t="shared" si="8"/>
        <v>103.24</v>
      </c>
      <c r="I8" s="50">
        <f t="shared" si="8"/>
        <v>104.28</v>
      </c>
      <c r="J8" s="50">
        <f t="shared" si="8"/>
        <v>105.01</v>
      </c>
      <c r="K8" s="51">
        <f t="shared" si="8"/>
        <v>107.08</v>
      </c>
      <c r="L8" s="52">
        <f t="shared" si="8"/>
        <v>106.72</v>
      </c>
      <c r="M8" s="52">
        <f t="shared" si="8"/>
        <v>106.22</v>
      </c>
    </row>
    <row r="9" spans="1:24" ht="22.5" customHeight="1" thickBot="1" x14ac:dyDescent="0.3">
      <c r="A9" s="11" t="s">
        <v>14</v>
      </c>
      <c r="B9" s="2" t="s">
        <v>90</v>
      </c>
      <c r="C9" s="48">
        <v>1810.5</v>
      </c>
      <c r="D9" s="48">
        <v>1819.9</v>
      </c>
      <c r="E9" s="48">
        <v>1821.8</v>
      </c>
      <c r="F9" s="48">
        <v>1817.7</v>
      </c>
      <c r="G9" s="48">
        <v>1812.2</v>
      </c>
      <c r="H9" s="48">
        <v>1950.3</v>
      </c>
      <c r="I9" s="48">
        <v>1951.21</v>
      </c>
      <c r="J9" s="48">
        <v>1968.2</v>
      </c>
      <c r="K9" s="48">
        <f>K10-K13</f>
        <v>1969.5</v>
      </c>
      <c r="L9" s="48">
        <v>1970.9</v>
      </c>
      <c r="M9" s="48">
        <f>ROUND(L9*AVERAGE(V9:X9),1)</f>
        <v>1977.5</v>
      </c>
      <c r="P9" s="6">
        <f>D9/C9</f>
        <v>1.0051919359293013</v>
      </c>
      <c r="Q9" s="6">
        <f t="shared" ref="Q9" si="9">E9/D9</f>
        <v>1.00104401340733</v>
      </c>
      <c r="R9" s="6">
        <f t="shared" ref="R9" si="10">F9/E9</f>
        <v>0.99774947853771001</v>
      </c>
      <c r="S9" s="6">
        <f t="shared" ref="S9" si="11">G9/F9</f>
        <v>0.99697419816251309</v>
      </c>
      <c r="T9" s="6">
        <f t="shared" ref="T9" si="12">H9/G9</f>
        <v>1.0762057168082992</v>
      </c>
      <c r="U9" s="6">
        <f t="shared" ref="U9" si="13">I9/H9</f>
        <v>1.0004665948828386</v>
      </c>
      <c r="V9" s="6">
        <f t="shared" ref="V9:X10" si="14">J9/I9</f>
        <v>1.0087074174486601</v>
      </c>
      <c r="W9" s="6">
        <f t="shared" si="14"/>
        <v>1.000660501981506</v>
      </c>
      <c r="X9" s="6">
        <f t="shared" si="14"/>
        <v>1.0007108403148008</v>
      </c>
    </row>
    <row r="10" spans="1:24" ht="22.5" customHeight="1" thickBot="1" x14ac:dyDescent="0.3">
      <c r="A10" s="24" t="s">
        <v>15</v>
      </c>
      <c r="B10" s="2" t="s">
        <v>92</v>
      </c>
      <c r="C10" s="50">
        <v>1937.1</v>
      </c>
      <c r="D10" s="50">
        <v>1914.8</v>
      </c>
      <c r="E10" s="50">
        <v>1906.4</v>
      </c>
      <c r="F10" s="50">
        <v>1898.4</v>
      </c>
      <c r="G10" s="50">
        <v>1892.96</v>
      </c>
      <c r="H10" s="50">
        <f>H9*($G$10/$G$9)</f>
        <v>2037.2143736894382</v>
      </c>
      <c r="I10" s="50">
        <f>I9*($G$10/$G$9)</f>
        <v>2038.1649274914469</v>
      </c>
      <c r="J10" s="50">
        <v>2038.9</v>
      </c>
      <c r="K10" s="49">
        <v>2037.2</v>
      </c>
      <c r="L10" s="48">
        <v>2037.2</v>
      </c>
      <c r="M10" s="48">
        <f>ROUND(L10*AVERAGE(V10:X10),1)</f>
        <v>2036.9</v>
      </c>
      <c r="P10" s="6">
        <f>D10/C10</f>
        <v>0.98848794589850808</v>
      </c>
      <c r="Q10" s="6">
        <f t="shared" ref="Q10" si="15">E10/D10</f>
        <v>0.99561311886358894</v>
      </c>
      <c r="R10" s="6">
        <f t="shared" ref="R10" si="16">F10/E10</f>
        <v>0.99580360889634911</v>
      </c>
      <c r="S10" s="6">
        <f t="shared" ref="S10" si="17">G10/F10</f>
        <v>0.997134428992836</v>
      </c>
      <c r="T10" s="6">
        <f t="shared" ref="T10" si="18">H10/G10</f>
        <v>1.0762057168082992</v>
      </c>
      <c r="U10" s="6">
        <f t="shared" ref="U10" si="19">I10/H10</f>
        <v>1.0004665948828386</v>
      </c>
      <c r="V10" s="6">
        <f t="shared" si="14"/>
        <v>1.0003606540857604</v>
      </c>
      <c r="W10" s="6">
        <f t="shared" si="14"/>
        <v>0.99916621707783604</v>
      </c>
      <c r="X10" s="6">
        <f t="shared" si="14"/>
        <v>1</v>
      </c>
    </row>
    <row r="11" spans="1:24" ht="15.75" x14ac:dyDescent="0.25">
      <c r="A11" s="72" t="s">
        <v>16</v>
      </c>
      <c r="B11" s="3" t="s">
        <v>38</v>
      </c>
      <c r="C11" s="66">
        <v>553.22</v>
      </c>
      <c r="D11" s="66">
        <v>717.57</v>
      </c>
      <c r="E11" s="66">
        <v>788.78</v>
      </c>
      <c r="F11" s="66">
        <v>853.55</v>
      </c>
      <c r="G11" s="66">
        <v>922.31</v>
      </c>
      <c r="H11" s="66">
        <f>ROUND(H4/H9,2)</f>
        <v>957.42</v>
      </c>
      <c r="I11" s="66">
        <f t="shared" ref="I11:L11" si="20">ROUND(I4/I9,2)</f>
        <v>993.04</v>
      </c>
      <c r="J11" s="66">
        <f>ROUND(J4/J9,2)</f>
        <v>1074.8399999999999</v>
      </c>
      <c r="K11" s="66">
        <f>ROUND(K4/K9,2)</f>
        <v>1239.02</v>
      </c>
      <c r="L11" s="66">
        <f t="shared" si="20"/>
        <v>1311.23</v>
      </c>
      <c r="M11" s="66">
        <f t="shared" ref="M11" si="21">ROUND(M4/M9,2)</f>
        <v>1366.53</v>
      </c>
    </row>
    <row r="12" spans="1:24" ht="15.75" customHeight="1" thickBot="1" x14ac:dyDescent="0.3">
      <c r="A12" s="73"/>
      <c r="B12" s="5" t="s">
        <v>67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24" ht="22.5" customHeight="1" thickBot="1" x14ac:dyDescent="0.3">
      <c r="A13" s="23" t="s">
        <v>47</v>
      </c>
      <c r="B13" s="41" t="s">
        <v>44</v>
      </c>
      <c r="C13" s="47">
        <v>126.6</v>
      </c>
      <c r="D13" s="47">
        <v>94.9</v>
      </c>
      <c r="E13" s="47">
        <v>84.6</v>
      </c>
      <c r="F13" s="47">
        <v>80.7</v>
      </c>
      <c r="G13" s="47">
        <v>80.8</v>
      </c>
      <c r="H13" s="47">
        <v>82</v>
      </c>
      <c r="I13" s="47">
        <v>77.5</v>
      </c>
      <c r="J13" s="47">
        <f>J10-J9</f>
        <v>70.700000000000045</v>
      </c>
      <c r="K13" s="47">
        <v>67.7</v>
      </c>
      <c r="L13" s="48">
        <f>L10-L9</f>
        <v>66.299999999999955</v>
      </c>
      <c r="M13" s="48">
        <f>M10-M9</f>
        <v>59.400000000000091</v>
      </c>
      <c r="N13" s="43"/>
    </row>
    <row r="14" spans="1:24" ht="22.5" customHeight="1" thickBot="1" x14ac:dyDescent="0.3">
      <c r="A14" s="23" t="s">
        <v>34</v>
      </c>
      <c r="B14" s="41" t="s">
        <v>45</v>
      </c>
      <c r="C14" s="47">
        <v>6.2</v>
      </c>
      <c r="D14" s="47">
        <v>4.7</v>
      </c>
      <c r="E14" s="47">
        <v>4.0999999999999996</v>
      </c>
      <c r="F14" s="47">
        <v>4</v>
      </c>
      <c r="G14" s="47">
        <v>3.9</v>
      </c>
      <c r="H14" s="53">
        <v>4</v>
      </c>
      <c r="I14" s="53">
        <v>3.8</v>
      </c>
      <c r="J14" s="53">
        <v>3.5</v>
      </c>
      <c r="K14" s="53">
        <v>3.3</v>
      </c>
      <c r="L14" s="47">
        <f>ROUND(L13/L10*100,1)</f>
        <v>3.3</v>
      </c>
      <c r="M14" s="47">
        <f>ROUND(M13/M10*100,1)</f>
        <v>2.9</v>
      </c>
    </row>
    <row r="15" spans="1:24" ht="22.5" customHeight="1" thickBot="1" x14ac:dyDescent="0.3">
      <c r="A15" s="23" t="s">
        <v>17</v>
      </c>
      <c r="B15" s="12" t="s">
        <v>46</v>
      </c>
      <c r="C15" s="47">
        <v>3786</v>
      </c>
      <c r="D15" s="47">
        <v>3795.3</v>
      </c>
      <c r="E15" s="47">
        <v>3812.6</v>
      </c>
      <c r="F15" s="47">
        <v>3830.1</v>
      </c>
      <c r="G15" s="47">
        <v>3846.6</v>
      </c>
      <c r="H15" s="48">
        <v>3861.8</v>
      </c>
      <c r="I15" s="48">
        <v>3876.991</v>
      </c>
      <c r="J15" s="48">
        <v>3894.2840000000001</v>
      </c>
      <c r="K15" s="49">
        <v>3898.6280000000002</v>
      </c>
      <c r="L15" s="48">
        <f>ROUND(K15*AVERAGE(P15:W15),1)</f>
        <v>3912.9</v>
      </c>
      <c r="M15" s="48">
        <f>ROUND(L15*AVERAGE(Q15:X15),1)</f>
        <v>3927.9</v>
      </c>
      <c r="P15" s="6">
        <f t="shared" ref="P15:X16" si="22">D15/C15</f>
        <v>1.0024564183835183</v>
      </c>
      <c r="Q15" s="6">
        <f t="shared" si="22"/>
        <v>1.004558269438516</v>
      </c>
      <c r="R15" s="6">
        <f t="shared" si="22"/>
        <v>1.0045900435398416</v>
      </c>
      <c r="S15" s="6">
        <f t="shared" si="22"/>
        <v>1.004307981514843</v>
      </c>
      <c r="T15" s="6">
        <f t="shared" si="22"/>
        <v>1.003951541621172</v>
      </c>
      <c r="U15" s="6">
        <f t="shared" si="22"/>
        <v>1.0039336578797451</v>
      </c>
      <c r="V15" s="6">
        <f t="shared" si="22"/>
        <v>1.0044604178859327</v>
      </c>
      <c r="W15" s="6">
        <f t="shared" si="22"/>
        <v>1.0011154810486345</v>
      </c>
      <c r="X15" s="6">
        <f t="shared" si="22"/>
        <v>1.0036607750213664</v>
      </c>
    </row>
    <row r="16" spans="1:24" ht="22.5" customHeight="1" thickBot="1" x14ac:dyDescent="0.3">
      <c r="A16" s="23" t="s">
        <v>18</v>
      </c>
      <c r="B16" s="41" t="s">
        <v>32</v>
      </c>
      <c r="C16" s="55">
        <v>1.601</v>
      </c>
      <c r="D16" s="55">
        <v>1.6519999999999999</v>
      </c>
      <c r="E16" s="55">
        <v>1.796</v>
      </c>
      <c r="F16" s="55">
        <v>1.8320000000000001</v>
      </c>
      <c r="G16" s="55">
        <v>1.8440000000000001</v>
      </c>
      <c r="H16" s="55">
        <v>1.863</v>
      </c>
      <c r="I16" s="55">
        <v>1.855</v>
      </c>
      <c r="J16" s="55">
        <v>1.6519999999999999</v>
      </c>
      <c r="K16" s="55">
        <v>1.621</v>
      </c>
      <c r="L16" s="55">
        <f>ROUND(K16*AVERAGE($P$16:W16),3)</f>
        <v>1.6259999999999999</v>
      </c>
      <c r="M16" s="55">
        <f>ROUND(L16*AVERAGE($P$16:X16),3)</f>
        <v>1.631</v>
      </c>
      <c r="P16" s="6">
        <f t="shared" si="22"/>
        <v>1.0318550905683948</v>
      </c>
      <c r="Q16" s="6">
        <f t="shared" si="22"/>
        <v>1.0871670702179177</v>
      </c>
      <c r="R16" s="6">
        <f t="shared" si="22"/>
        <v>1.0200445434298442</v>
      </c>
      <c r="S16" s="6">
        <f t="shared" si="22"/>
        <v>1.0065502183406114</v>
      </c>
      <c r="T16" s="6">
        <f t="shared" si="22"/>
        <v>1.0103036876355749</v>
      </c>
      <c r="U16" s="6">
        <f t="shared" si="22"/>
        <v>0.99570585077831453</v>
      </c>
      <c r="V16" s="6">
        <f t="shared" si="22"/>
        <v>0.89056603773584897</v>
      </c>
      <c r="W16" s="6">
        <f t="shared" si="22"/>
        <v>0.98123486682808725</v>
      </c>
      <c r="X16" s="6">
        <f t="shared" si="22"/>
        <v>1.0030845157310302</v>
      </c>
    </row>
    <row r="17" spans="1:24" ht="15.75" x14ac:dyDescent="0.25">
      <c r="A17" s="79" t="s">
        <v>19</v>
      </c>
      <c r="B17" s="28" t="s">
        <v>40</v>
      </c>
      <c r="C17" s="81"/>
      <c r="D17" s="77"/>
      <c r="E17" s="77"/>
      <c r="F17" s="77"/>
      <c r="G17" s="77"/>
      <c r="H17" s="56">
        <f t="shared" ref="H17:M17" si="23">H19+H21</f>
        <v>76.872881448739122</v>
      </c>
      <c r="I17" s="56">
        <f t="shared" si="23"/>
        <v>74.751175079957008</v>
      </c>
      <c r="J17" s="56">
        <f t="shared" si="23"/>
        <v>71.165855537164674</v>
      </c>
      <c r="K17" s="74">
        <f t="shared" si="23"/>
        <v>77.180033257349393</v>
      </c>
      <c r="L17" s="56">
        <f t="shared" si="23"/>
        <v>79.358028124661018</v>
      </c>
      <c r="M17" s="56">
        <f t="shared" si="23"/>
        <v>72.06911488228026</v>
      </c>
    </row>
    <row r="18" spans="1:24" ht="15.75" customHeight="1" thickBot="1" x14ac:dyDescent="0.3">
      <c r="A18" s="80"/>
      <c r="B18" s="16" t="s">
        <v>68</v>
      </c>
      <c r="C18" s="82"/>
      <c r="D18" s="83"/>
      <c r="E18" s="83"/>
      <c r="F18" s="83"/>
      <c r="G18" s="83"/>
      <c r="H18" s="60"/>
      <c r="I18" s="60"/>
      <c r="J18" s="60"/>
      <c r="K18" s="75"/>
      <c r="L18" s="60"/>
      <c r="M18" s="60"/>
    </row>
    <row r="19" spans="1:24" ht="47.25" x14ac:dyDescent="0.25">
      <c r="A19" s="72" t="s">
        <v>20</v>
      </c>
      <c r="B19" s="21" t="s">
        <v>37</v>
      </c>
      <c r="C19" s="77"/>
      <c r="D19" s="77"/>
      <c r="E19" s="77"/>
      <c r="F19" s="77"/>
      <c r="G19" s="77"/>
      <c r="H19" s="56">
        <f t="shared" ref="H19:M19" si="24">H11*(H13-H10*0.7%)/1000</f>
        <v>64.855151500395806</v>
      </c>
      <c r="I19" s="56">
        <f t="shared" si="24"/>
        <v>62.792744902827252</v>
      </c>
      <c r="J19" s="56">
        <f t="shared" si="24"/>
        <v>60.650749068000039</v>
      </c>
      <c r="K19" s="74">
        <f t="shared" si="24"/>
        <v>66.212733192000002</v>
      </c>
      <c r="L19" s="56">
        <f t="shared" si="24"/>
        <v>68.235884707999944</v>
      </c>
      <c r="M19" s="56">
        <f t="shared" si="24"/>
        <v>61.687487301000125</v>
      </c>
      <c r="O19" s="6">
        <f t="shared" ref="O19:X19" si="25">C10-C9</f>
        <v>126.59999999999991</v>
      </c>
      <c r="P19" s="6">
        <f t="shared" si="25"/>
        <v>94.899999999999864</v>
      </c>
      <c r="Q19" s="6">
        <f t="shared" si="25"/>
        <v>84.600000000000136</v>
      </c>
      <c r="R19" s="6">
        <f t="shared" si="25"/>
        <v>80.700000000000045</v>
      </c>
      <c r="S19" s="6">
        <f t="shared" si="25"/>
        <v>80.759999999999991</v>
      </c>
      <c r="T19" s="6">
        <f t="shared" si="25"/>
        <v>86.914373689438207</v>
      </c>
      <c r="U19" s="43">
        <f t="shared" si="25"/>
        <v>86.954927491446824</v>
      </c>
      <c r="V19" s="6">
        <f t="shared" si="25"/>
        <v>70.700000000000045</v>
      </c>
      <c r="W19" s="6">
        <f t="shared" si="25"/>
        <v>67.700000000000045</v>
      </c>
      <c r="X19" s="6">
        <f t="shared" si="25"/>
        <v>66.299999999999955</v>
      </c>
    </row>
    <row r="20" spans="1:24" ht="15.75" customHeight="1" thickBot="1" x14ac:dyDescent="0.3">
      <c r="A20" s="73"/>
      <c r="B20" s="5" t="s">
        <v>70</v>
      </c>
      <c r="C20" s="78"/>
      <c r="D20" s="78"/>
      <c r="E20" s="78"/>
      <c r="F20" s="78"/>
      <c r="G20" s="78"/>
      <c r="H20" s="57"/>
      <c r="I20" s="57"/>
      <c r="J20" s="57"/>
      <c r="K20" s="76"/>
      <c r="L20" s="57"/>
      <c r="M20" s="57"/>
      <c r="W20" s="54">
        <f>L10-L9</f>
        <v>66.299999999999955</v>
      </c>
      <c r="X20" s="54">
        <f>M10-M9</f>
        <v>59.400000000000091</v>
      </c>
    </row>
    <row r="21" spans="1:24" ht="15.75" x14ac:dyDescent="0.25">
      <c r="A21" s="84" t="s">
        <v>21</v>
      </c>
      <c r="B21" s="28" t="s">
        <v>39</v>
      </c>
      <c r="C21" s="83"/>
      <c r="D21" s="83"/>
      <c r="E21" s="83"/>
      <c r="F21" s="83"/>
      <c r="G21" s="83"/>
      <c r="H21" s="60">
        <f t="shared" ref="H21:M21" si="26">H24+H25+H27</f>
        <v>12.017729948343318</v>
      </c>
      <c r="I21" s="60">
        <f t="shared" si="26"/>
        <v>11.958430177129758</v>
      </c>
      <c r="J21" s="60">
        <f t="shared" si="26"/>
        <v>10.515106469164643</v>
      </c>
      <c r="K21" s="75">
        <f t="shared" si="26"/>
        <v>10.967300065349392</v>
      </c>
      <c r="L21" s="60">
        <f t="shared" si="26"/>
        <v>11.122143416661082</v>
      </c>
      <c r="M21" s="60">
        <f t="shared" si="26"/>
        <v>10.381627581280132</v>
      </c>
    </row>
    <row r="22" spans="1:24" ht="15.75" customHeight="1" thickBot="1" x14ac:dyDescent="0.3">
      <c r="A22" s="84"/>
      <c r="B22" s="16" t="s">
        <v>69</v>
      </c>
      <c r="C22" s="83"/>
      <c r="D22" s="83"/>
      <c r="E22" s="83"/>
      <c r="F22" s="83"/>
      <c r="G22" s="83"/>
      <c r="H22" s="60"/>
      <c r="I22" s="60"/>
      <c r="J22" s="60"/>
      <c r="K22" s="75"/>
      <c r="L22" s="60"/>
      <c r="M22" s="60"/>
    </row>
    <row r="23" spans="1:24" ht="16.5" thickBot="1" x14ac:dyDescent="0.3">
      <c r="A23" s="73"/>
      <c r="B23" s="9" t="s">
        <v>26</v>
      </c>
      <c r="C23" s="10"/>
      <c r="D23" s="10"/>
      <c r="E23" s="10"/>
      <c r="F23" s="10"/>
      <c r="G23" s="10"/>
      <c r="H23" s="10"/>
      <c r="I23" s="10"/>
      <c r="J23" s="10"/>
      <c r="K23" s="10"/>
      <c r="L23" s="13"/>
      <c r="M23" s="13"/>
    </row>
    <row r="24" spans="1:24" ht="22.5" customHeight="1" thickBot="1" x14ac:dyDescent="0.3">
      <c r="A24" s="23" t="s">
        <v>55</v>
      </c>
      <c r="B24" s="3" t="s">
        <v>48</v>
      </c>
      <c r="C24" s="25"/>
      <c r="D24" s="25"/>
      <c r="E24" s="25"/>
      <c r="F24" s="25"/>
      <c r="G24" s="25"/>
      <c r="H24" s="27">
        <f t="shared" ref="H24:M24" si="27">H19*H7%*30.2%</f>
        <v>4.851905611935786</v>
      </c>
      <c r="I24" s="27">
        <f t="shared" si="27"/>
        <v>4.7207238585591096</v>
      </c>
      <c r="J24" s="27">
        <f t="shared" si="27"/>
        <v>4.3856802213555408</v>
      </c>
      <c r="K24" s="34">
        <f t="shared" si="27"/>
        <v>4.4445988609965097</v>
      </c>
      <c r="L24" s="27">
        <f t="shared" si="27"/>
        <v>4.615674661517903</v>
      </c>
      <c r="M24" s="38">
        <f t="shared" si="27"/>
        <v>4.2388129096610925</v>
      </c>
    </row>
    <row r="25" spans="1:24" ht="15.75" x14ac:dyDescent="0.25">
      <c r="A25" s="72" t="s">
        <v>56</v>
      </c>
      <c r="B25" s="28" t="s">
        <v>49</v>
      </c>
      <c r="C25" s="77"/>
      <c r="D25" s="77"/>
      <c r="E25" s="77"/>
      <c r="F25" s="77"/>
      <c r="G25" s="77"/>
      <c r="H25" s="56">
        <f t="shared" ref="H25:M25" si="28">H19*H7%*13%</f>
        <v>2.0885686408995103</v>
      </c>
      <c r="I25" s="56">
        <f t="shared" si="28"/>
        <v>2.0320996742141864</v>
      </c>
      <c r="J25" s="56">
        <f t="shared" si="28"/>
        <v>1.8878755919742396</v>
      </c>
      <c r="K25" s="74">
        <f t="shared" si="28"/>
        <v>1.9132379202965111</v>
      </c>
      <c r="L25" s="56">
        <f t="shared" si="28"/>
        <v>1.9868798211832035</v>
      </c>
      <c r="M25" s="56">
        <f t="shared" si="28"/>
        <v>1.8246545637613978</v>
      </c>
    </row>
    <row r="26" spans="1:24" ht="15.75" customHeight="1" thickBot="1" x14ac:dyDescent="0.3">
      <c r="A26" s="84"/>
      <c r="B26" s="16" t="s">
        <v>71</v>
      </c>
      <c r="C26" s="83"/>
      <c r="D26" s="83"/>
      <c r="E26" s="83"/>
      <c r="F26" s="83"/>
      <c r="G26" s="83"/>
      <c r="H26" s="60"/>
      <c r="I26" s="60"/>
      <c r="J26" s="60"/>
      <c r="K26" s="75"/>
      <c r="L26" s="60"/>
      <c r="M26" s="60"/>
    </row>
    <row r="27" spans="1:24" ht="31.5" x14ac:dyDescent="0.25">
      <c r="A27" s="72" t="s">
        <v>24</v>
      </c>
      <c r="B27" s="28" t="s">
        <v>50</v>
      </c>
      <c r="C27" s="77"/>
      <c r="D27" s="77"/>
      <c r="E27" s="77"/>
      <c r="F27" s="77"/>
      <c r="G27" s="77"/>
      <c r="H27" s="56">
        <f t="shared" ref="H27" si="29">H30+H35</f>
        <v>5.0772556955080219</v>
      </c>
      <c r="I27" s="56">
        <f t="shared" ref="I27:K27" si="30">I30+I35</f>
        <v>5.2056066443564619</v>
      </c>
      <c r="J27" s="56">
        <f t="shared" si="30"/>
        <v>4.2415506558348621</v>
      </c>
      <c r="K27" s="74">
        <f t="shared" si="30"/>
        <v>4.6094632840563712</v>
      </c>
      <c r="L27" s="56">
        <f t="shared" ref="L27:M27" si="31">L30+L35</f>
        <v>4.5195889339599757</v>
      </c>
      <c r="M27" s="56">
        <f t="shared" si="31"/>
        <v>4.3181601078576417</v>
      </c>
    </row>
    <row r="28" spans="1:24" ht="15.75" customHeight="1" thickBot="1" x14ac:dyDescent="0.3">
      <c r="A28" s="84"/>
      <c r="B28" s="16" t="s">
        <v>63</v>
      </c>
      <c r="C28" s="83"/>
      <c r="D28" s="83"/>
      <c r="E28" s="83"/>
      <c r="F28" s="83"/>
      <c r="G28" s="83"/>
      <c r="H28" s="61"/>
      <c r="I28" s="61"/>
      <c r="J28" s="61"/>
      <c r="K28" s="92"/>
      <c r="L28" s="61"/>
      <c r="M28" s="61"/>
    </row>
    <row r="29" spans="1:24" ht="16.5" thickBot="1" x14ac:dyDescent="0.3">
      <c r="A29" s="24"/>
      <c r="B29" s="9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3"/>
      <c r="M29" s="13"/>
    </row>
    <row r="30" spans="1:24" ht="31.5" x14ac:dyDescent="0.25">
      <c r="A30" s="72" t="s">
        <v>57</v>
      </c>
      <c r="B30" s="3" t="s">
        <v>29</v>
      </c>
      <c r="C30" s="77"/>
      <c r="D30" s="77"/>
      <c r="E30" s="77"/>
      <c r="F30" s="77"/>
      <c r="G30" s="77"/>
      <c r="H30" s="56">
        <f t="shared" ref="H30:M30" si="32">H33*(H13-H11*0.7%)*H16/1000</f>
        <v>4.6204079004797967</v>
      </c>
      <c r="I30" s="56">
        <f t="shared" si="32"/>
        <v>4.7093979325939124</v>
      </c>
      <c r="J30" s="56">
        <f t="shared" si="32"/>
        <v>3.8626891459614168</v>
      </c>
      <c r="K30" s="56">
        <f t="shared" si="32"/>
        <v>4.258306440588874</v>
      </c>
      <c r="L30" s="56">
        <f t="shared" si="32"/>
        <v>4.2120653193236333</v>
      </c>
      <c r="M30" s="56">
        <f t="shared" si="32"/>
        <v>4.0268425551195373</v>
      </c>
    </row>
    <row r="31" spans="1:24" ht="16.5" thickBot="1" x14ac:dyDescent="0.3">
      <c r="A31" s="73"/>
      <c r="B31" s="4" t="s">
        <v>72</v>
      </c>
      <c r="C31" s="78"/>
      <c r="D31" s="78"/>
      <c r="E31" s="78"/>
      <c r="F31" s="78"/>
      <c r="G31" s="78"/>
      <c r="H31" s="57"/>
      <c r="I31" s="57"/>
      <c r="J31" s="57"/>
      <c r="K31" s="57"/>
      <c r="L31" s="57"/>
      <c r="M31" s="57"/>
    </row>
    <row r="32" spans="1:24" ht="32.25" thickBot="1" x14ac:dyDescent="0.3">
      <c r="A32" s="23" t="s">
        <v>61</v>
      </c>
      <c r="B32" s="12" t="s">
        <v>51</v>
      </c>
      <c r="C32" s="42">
        <f>87.4633-C37</f>
        <v>79.388300000000001</v>
      </c>
      <c r="D32" s="42">
        <f>104.3729-D37</f>
        <v>96.265900000000002</v>
      </c>
      <c r="E32" s="42">
        <f>119.8951-E37</f>
        <v>112.1331</v>
      </c>
      <c r="F32" s="44">
        <f>60.037+8.713+26.091+9.042+1.377+(21.07-F37)</f>
        <v>115.441</v>
      </c>
      <c r="G32" s="44">
        <f>75.001+10.384+28.544+4.06+1.46+(24.498-G37)</f>
        <v>130.89500000000001</v>
      </c>
      <c r="H32" s="44">
        <f>67.706+9.862+31.711+4.615+1.273+(24.447-H37)</f>
        <v>127.19599999999998</v>
      </c>
      <c r="I32" s="44">
        <f>72.229+14.906+34.766+5.662+1.299+(25.044-I37)</f>
        <v>139.51700000000002</v>
      </c>
      <c r="J32" s="44">
        <f>73.206+13.695+20.111+10.565+1.312+(38.824-J37)</f>
        <v>144.13</v>
      </c>
      <c r="K32" s="40">
        <f>101.7007594+24.0820492+13.8241549+7.8934104+(39.4202315-K37)</f>
        <v>173.50660540000001</v>
      </c>
      <c r="L32" s="40">
        <f>98.8420999+25.1498116+16.4825392+8.1088592+(40.8682731-L37)</f>
        <v>177.44940118181819</v>
      </c>
      <c r="M32" s="36">
        <f>ROUND(L32*AVERAGE($P$32:X32),1)</f>
        <v>194.6</v>
      </c>
      <c r="P32" s="6">
        <f t="shared" ref="P32:W32" si="33">D32/C32</f>
        <v>1.2125955587914088</v>
      </c>
      <c r="Q32" s="6">
        <f t="shared" si="33"/>
        <v>1.1648267974433315</v>
      </c>
      <c r="R32" s="6">
        <f t="shared" si="33"/>
        <v>1.0294997641196044</v>
      </c>
      <c r="S32" s="6">
        <f t="shared" si="33"/>
        <v>1.1338692492268778</v>
      </c>
      <c r="T32" s="6">
        <f t="shared" si="33"/>
        <v>0.97174070820122982</v>
      </c>
      <c r="U32" s="6">
        <f t="shared" si="33"/>
        <v>1.0968662536557756</v>
      </c>
      <c r="V32" s="6">
        <f t="shared" si="33"/>
        <v>1.0330640710451053</v>
      </c>
      <c r="W32" s="6">
        <f t="shared" si="33"/>
        <v>1.2038201998196074</v>
      </c>
      <c r="X32" s="6">
        <f>L32/K32</f>
        <v>1.0227241825907925</v>
      </c>
    </row>
    <row r="33" spans="1:24" ht="31.5" x14ac:dyDescent="0.25">
      <c r="A33" s="72" t="s">
        <v>60</v>
      </c>
      <c r="B33" s="3" t="s">
        <v>28</v>
      </c>
      <c r="C33" s="25"/>
      <c r="D33" s="77"/>
      <c r="E33" s="77"/>
      <c r="F33" s="77"/>
      <c r="G33" s="77"/>
      <c r="H33" s="62">
        <f t="shared" ref="H33:M33" si="34">H32/H15*1000</f>
        <v>32.936972396291878</v>
      </c>
      <c r="I33" s="62">
        <f t="shared" si="34"/>
        <v>35.985897310568951</v>
      </c>
      <c r="J33" s="62">
        <f t="shared" si="34"/>
        <v>37.010654590163426</v>
      </c>
      <c r="K33" s="85">
        <f t="shared" si="34"/>
        <v>44.504529644787866</v>
      </c>
      <c r="L33" s="62">
        <f t="shared" si="34"/>
        <v>45.349843129601624</v>
      </c>
      <c r="M33" s="62">
        <f t="shared" si="34"/>
        <v>49.543012805824993</v>
      </c>
    </row>
    <row r="34" spans="1:24" ht="15.75" thickBot="1" x14ac:dyDescent="0.3">
      <c r="A34" s="73"/>
      <c r="B34" s="5" t="s">
        <v>62</v>
      </c>
      <c r="C34" s="26"/>
      <c r="D34" s="78"/>
      <c r="E34" s="78"/>
      <c r="F34" s="78"/>
      <c r="G34" s="78"/>
      <c r="H34" s="63"/>
      <c r="I34" s="63"/>
      <c r="J34" s="63"/>
      <c r="K34" s="86"/>
      <c r="L34" s="63"/>
      <c r="M34" s="63"/>
    </row>
    <row r="35" spans="1:24" ht="31.5" x14ac:dyDescent="0.25">
      <c r="A35" s="87" t="s">
        <v>59</v>
      </c>
      <c r="B35" s="28" t="s">
        <v>53</v>
      </c>
      <c r="C35" s="77"/>
      <c r="D35" s="77"/>
      <c r="E35" s="77"/>
      <c r="F35" s="77"/>
      <c r="G35" s="77"/>
      <c r="H35" s="56">
        <f t="shared" ref="H35:M35" si="35">H38*(H13-H13*0.07)*H16/1000</f>
        <v>0.45684779502822509</v>
      </c>
      <c r="I35" s="56">
        <f t="shared" si="35"/>
        <v>0.49620871176254988</v>
      </c>
      <c r="J35" s="56">
        <f t="shared" si="35"/>
        <v>0.37886150987344552</v>
      </c>
      <c r="K35" s="74">
        <f t="shared" si="35"/>
        <v>0.35115684346749676</v>
      </c>
      <c r="L35" s="56">
        <f t="shared" si="35"/>
        <v>0.30752361463634248</v>
      </c>
      <c r="M35" s="56">
        <f t="shared" si="35"/>
        <v>0.29131755273810478</v>
      </c>
    </row>
    <row r="36" spans="1:24" ht="16.5" customHeight="1" thickBot="1" x14ac:dyDescent="0.3">
      <c r="A36" s="88"/>
      <c r="B36" s="16" t="s">
        <v>82</v>
      </c>
      <c r="C36" s="78"/>
      <c r="D36" s="78"/>
      <c r="E36" s="78"/>
      <c r="F36" s="78"/>
      <c r="G36" s="78"/>
      <c r="H36" s="57"/>
      <c r="I36" s="57"/>
      <c r="J36" s="57"/>
      <c r="K36" s="76"/>
      <c r="L36" s="57"/>
      <c r="M36" s="57"/>
    </row>
    <row r="37" spans="1:24" ht="32.25" thickBot="1" x14ac:dyDescent="0.3">
      <c r="A37" s="29" t="s">
        <v>64</v>
      </c>
      <c r="B37" s="12" t="s">
        <v>52</v>
      </c>
      <c r="C37" s="42">
        <v>8.0749999999999993</v>
      </c>
      <c r="D37" s="42">
        <v>8.1069999999999993</v>
      </c>
      <c r="E37" s="42">
        <v>7.7619999999999996</v>
      </c>
      <c r="F37" s="42">
        <v>10.888999999999999</v>
      </c>
      <c r="G37" s="42">
        <v>13.052</v>
      </c>
      <c r="H37" s="42">
        <v>12.417999999999999</v>
      </c>
      <c r="I37" s="42">
        <v>14.388999999999999</v>
      </c>
      <c r="J37" s="42">
        <v>13.583</v>
      </c>
      <c r="K37" s="45">
        <v>13.414</v>
      </c>
      <c r="L37" s="45">
        <f>11.002/11*12</f>
        <v>12.002181818181819</v>
      </c>
      <c r="M37" s="36">
        <f>ROUND(L37*AVERAGE($P$37:X37),1)</f>
        <v>12.7</v>
      </c>
      <c r="P37" s="6">
        <f t="shared" ref="P37:V37" si="36">D37/C37</f>
        <v>1.0039628482972136</v>
      </c>
      <c r="Q37" s="6">
        <f t="shared" si="36"/>
        <v>0.9574441840384853</v>
      </c>
      <c r="R37" s="6">
        <f t="shared" si="36"/>
        <v>1.4028600876062871</v>
      </c>
      <c r="S37" s="6">
        <f t="shared" si="36"/>
        <v>1.1986408301956102</v>
      </c>
      <c r="T37" s="6">
        <f t="shared" si="36"/>
        <v>0.95142506895494938</v>
      </c>
      <c r="U37" s="6">
        <f>I37/H37</f>
        <v>1.158721211145112</v>
      </c>
      <c r="V37" s="6">
        <f t="shared" si="36"/>
        <v>0.94398498853290713</v>
      </c>
      <c r="W37" s="6">
        <f>K37/J37</f>
        <v>0.98755797688286828</v>
      </c>
      <c r="X37" s="6">
        <f>L37/K37</f>
        <v>0.89475039646502308</v>
      </c>
    </row>
    <row r="38" spans="1:24" ht="31.5" x14ac:dyDescent="0.25">
      <c r="A38" s="87" t="s">
        <v>65</v>
      </c>
      <c r="B38" s="3" t="s">
        <v>80</v>
      </c>
      <c r="C38" s="77"/>
      <c r="D38" s="89">
        <f t="shared" ref="D38:M38" si="37">D37/D15*1000</f>
        <v>2.1360630253207913</v>
      </c>
      <c r="E38" s="89">
        <f t="shared" si="37"/>
        <v>2.0358810260714475</v>
      </c>
      <c r="F38" s="89">
        <f t="shared" si="37"/>
        <v>2.8430067100075713</v>
      </c>
      <c r="G38" s="89">
        <f t="shared" si="37"/>
        <v>3.3931263973379089</v>
      </c>
      <c r="H38" s="56">
        <f t="shared" si="37"/>
        <v>3.21559894349785</v>
      </c>
      <c r="I38" s="56">
        <f t="shared" si="37"/>
        <v>3.7113833898505306</v>
      </c>
      <c r="J38" s="56">
        <f t="shared" si="37"/>
        <v>3.4879325698896126</v>
      </c>
      <c r="K38" s="74">
        <f t="shared" si="37"/>
        <v>3.4406975992579953</v>
      </c>
      <c r="L38" s="56">
        <f t="shared" si="37"/>
        <v>3.0673367114369952</v>
      </c>
      <c r="M38" s="56">
        <f t="shared" si="37"/>
        <v>3.2332798696504494</v>
      </c>
    </row>
    <row r="39" spans="1:24" ht="15.75" thickBot="1" x14ac:dyDescent="0.3">
      <c r="A39" s="88"/>
      <c r="B39" s="5" t="s">
        <v>81</v>
      </c>
      <c r="C39" s="78"/>
      <c r="D39" s="90"/>
      <c r="E39" s="90"/>
      <c r="F39" s="90"/>
      <c r="G39" s="90"/>
      <c r="H39" s="57"/>
      <c r="I39" s="57"/>
      <c r="J39" s="57"/>
      <c r="K39" s="76"/>
      <c r="L39" s="57"/>
      <c r="M39" s="57"/>
    </row>
    <row r="40" spans="1:24" ht="20.25" x14ac:dyDescent="0.25">
      <c r="A40" s="72" t="s">
        <v>25</v>
      </c>
      <c r="B40" s="22" t="s">
        <v>54</v>
      </c>
      <c r="C40" s="77"/>
      <c r="D40" s="77"/>
      <c r="E40" s="77"/>
      <c r="F40" s="77"/>
      <c r="G40" s="77"/>
      <c r="H40" s="68">
        <f t="shared" ref="H40:M40" si="38">H17*1000/H4</f>
        <v>4.1168843636256253E-2</v>
      </c>
      <c r="I40" s="68">
        <f t="shared" si="38"/>
        <v>3.8578521788190892E-2</v>
      </c>
      <c r="J40" s="68">
        <f t="shared" si="38"/>
        <v>3.3640154993461922E-2</v>
      </c>
      <c r="K40" s="93">
        <f t="shared" si="38"/>
        <v>3.1627807845680207E-2</v>
      </c>
      <c r="L40" s="68">
        <f t="shared" si="38"/>
        <v>3.0707711593970285E-2</v>
      </c>
      <c r="M40" s="68">
        <f t="shared" si="38"/>
        <v>2.6669447577176663E-2</v>
      </c>
    </row>
    <row r="41" spans="1:24" ht="15" customHeight="1" thickBot="1" x14ac:dyDescent="0.3">
      <c r="A41" s="84"/>
      <c r="B41" s="15" t="s">
        <v>58</v>
      </c>
      <c r="C41" s="83"/>
      <c r="D41" s="83"/>
      <c r="E41" s="83"/>
      <c r="F41" s="83"/>
      <c r="G41" s="83"/>
      <c r="H41" s="69"/>
      <c r="I41" s="69"/>
      <c r="J41" s="69"/>
      <c r="K41" s="94"/>
      <c r="L41" s="69"/>
      <c r="M41" s="69"/>
    </row>
    <row r="42" spans="1:24" ht="22.5" customHeight="1" thickBot="1" x14ac:dyDescent="0.3">
      <c r="A42" s="11" t="s">
        <v>27</v>
      </c>
      <c r="B42" s="12" t="s">
        <v>22</v>
      </c>
      <c r="C42" s="13">
        <v>452.5</v>
      </c>
      <c r="D42" s="13">
        <v>415</v>
      </c>
      <c r="E42" s="13">
        <v>409.9</v>
      </c>
      <c r="F42" s="13">
        <v>369.4</v>
      </c>
      <c r="G42" s="13">
        <v>349.6</v>
      </c>
      <c r="H42" s="46">
        <f>G42*1.05</f>
        <v>367.08000000000004</v>
      </c>
      <c r="I42" s="20">
        <v>394</v>
      </c>
      <c r="J42" s="20">
        <v>408.7</v>
      </c>
      <c r="K42" s="35">
        <v>416</v>
      </c>
      <c r="L42" s="20">
        <v>398.7</v>
      </c>
      <c r="M42" s="20">
        <f>ROUND(L42*AVERAGE($P$42:X42),1)</f>
        <v>393.8</v>
      </c>
      <c r="P42" s="6">
        <f t="shared" ref="P42:X42" si="39">D42/C42</f>
        <v>0.91712707182320441</v>
      </c>
      <c r="Q42" s="6">
        <f t="shared" si="39"/>
        <v>0.98771084337349391</v>
      </c>
      <c r="R42" s="6">
        <f t="shared" si="39"/>
        <v>0.90119541351549159</v>
      </c>
      <c r="S42" s="6">
        <f t="shared" si="39"/>
        <v>0.94639956686518689</v>
      </c>
      <c r="T42" s="6">
        <f t="shared" si="39"/>
        <v>1.05</v>
      </c>
      <c r="U42" s="6">
        <f t="shared" si="39"/>
        <v>1.0733355126947803</v>
      </c>
      <c r="V42" s="6">
        <f t="shared" si="39"/>
        <v>1.0373096446700507</v>
      </c>
      <c r="W42" s="6">
        <f t="shared" si="39"/>
        <v>1.0178615121115733</v>
      </c>
      <c r="X42" s="6">
        <f t="shared" si="39"/>
        <v>0.95841346153846152</v>
      </c>
    </row>
    <row r="43" spans="1:24" ht="22.5" customHeight="1" thickBot="1" x14ac:dyDescent="0.3">
      <c r="A43" s="24" t="s">
        <v>30</v>
      </c>
      <c r="B43" s="2" t="s">
        <v>23</v>
      </c>
      <c r="C43" s="31">
        <v>90</v>
      </c>
      <c r="D43" s="31">
        <v>91.7</v>
      </c>
      <c r="E43" s="31">
        <v>98.8</v>
      </c>
      <c r="F43" s="31">
        <v>90.1</v>
      </c>
      <c r="G43" s="31">
        <v>94.6</v>
      </c>
      <c r="H43" s="8">
        <f>H42/G42*100</f>
        <v>105</v>
      </c>
      <c r="I43" s="8">
        <f t="shared" ref="I43:J43" si="40">I42/H42*100</f>
        <v>107.33355126947804</v>
      </c>
      <c r="J43" s="40">
        <f t="shared" si="40"/>
        <v>103.73096446700507</v>
      </c>
      <c r="K43" s="40">
        <f t="shared" ref="K43" si="41">K42/J42*100</f>
        <v>101.78615121115733</v>
      </c>
      <c r="L43" s="40">
        <f t="shared" ref="L43:M43" si="42">L42/K42*100</f>
        <v>95.841346153846146</v>
      </c>
      <c r="M43" s="40">
        <f t="shared" si="42"/>
        <v>98.771005768748438</v>
      </c>
    </row>
    <row r="44" spans="1:24" ht="15.75" x14ac:dyDescent="0.25">
      <c r="A44" s="72" t="s">
        <v>31</v>
      </c>
      <c r="B44" s="3" t="s">
        <v>73</v>
      </c>
      <c r="C44" s="77"/>
      <c r="D44" s="77"/>
      <c r="E44" s="77"/>
      <c r="F44" s="77"/>
      <c r="G44" s="77"/>
      <c r="H44" s="56">
        <f>H47+H49+H51</f>
        <v>62.334054814643522</v>
      </c>
      <c r="I44" s="56">
        <f t="shared" ref="I44:K44" si="43">I47+I49+I51</f>
        <v>71.089982719162307</v>
      </c>
      <c r="J44" s="56">
        <f t="shared" si="43"/>
        <v>72.782244751552255</v>
      </c>
      <c r="K44" s="56">
        <f t="shared" si="43"/>
        <v>81.823705820650815</v>
      </c>
      <c r="L44" s="56">
        <f t="shared" ref="L44:M44" si="44">L47+L49+L51</f>
        <v>81.973483660892441</v>
      </c>
      <c r="M44" s="56">
        <f t="shared" si="44"/>
        <v>86.793084392256134</v>
      </c>
    </row>
    <row r="45" spans="1:24" ht="15.75" thickBot="1" x14ac:dyDescent="0.3">
      <c r="A45" s="84"/>
      <c r="B45" s="16" t="s">
        <v>84</v>
      </c>
      <c r="C45" s="78"/>
      <c r="D45" s="78"/>
      <c r="E45" s="78"/>
      <c r="F45" s="78"/>
      <c r="G45" s="78"/>
      <c r="H45" s="58"/>
      <c r="I45" s="58"/>
      <c r="J45" s="58"/>
      <c r="K45" s="58"/>
      <c r="L45" s="58"/>
      <c r="M45" s="58"/>
    </row>
    <row r="46" spans="1:24" ht="16.5" thickBot="1" x14ac:dyDescent="0.3">
      <c r="A46" s="73"/>
      <c r="B46" s="9" t="s">
        <v>26</v>
      </c>
      <c r="C46" s="10"/>
      <c r="D46" s="10"/>
      <c r="E46" s="10"/>
      <c r="F46" s="10"/>
      <c r="G46" s="10"/>
      <c r="H46" s="10"/>
      <c r="I46" s="10"/>
      <c r="J46" s="10"/>
      <c r="K46" s="10"/>
      <c r="L46" s="13"/>
      <c r="M46" s="13"/>
    </row>
    <row r="47" spans="1:24" ht="31.5" x14ac:dyDescent="0.25">
      <c r="A47" s="72" t="s">
        <v>75</v>
      </c>
      <c r="B47" s="21" t="s">
        <v>74</v>
      </c>
      <c r="C47" s="77"/>
      <c r="D47" s="77"/>
      <c r="E47" s="77"/>
      <c r="F47" s="77"/>
      <c r="G47" s="77"/>
      <c r="H47" s="56">
        <f t="shared" ref="H47:M47" si="45">H42*H11*H7%*(13%+30.2%)/1000</f>
        <v>37.610394406398662</v>
      </c>
      <c r="I47" s="56">
        <f t="shared" si="45"/>
        <v>42.076431173646718</v>
      </c>
      <c r="J47" s="56">
        <f t="shared" si="45"/>
        <v>45.438716462090056</v>
      </c>
      <c r="K47" s="56">
        <f t="shared" si="45"/>
        <v>49.492513061809909</v>
      </c>
      <c r="L47" s="56">
        <f t="shared" si="45"/>
        <v>50.585294127028909</v>
      </c>
      <c r="M47" s="56">
        <f t="shared" si="45"/>
        <v>52.8955154775689</v>
      </c>
    </row>
    <row r="48" spans="1:24" ht="15.75" customHeight="1" thickBot="1" x14ac:dyDescent="0.3">
      <c r="A48" s="73"/>
      <c r="B48" s="5" t="s">
        <v>77</v>
      </c>
      <c r="C48" s="78"/>
      <c r="D48" s="78"/>
      <c r="E48" s="78"/>
      <c r="F48" s="78"/>
      <c r="G48" s="78"/>
      <c r="H48" s="57"/>
      <c r="I48" s="57"/>
      <c r="J48" s="57"/>
      <c r="K48" s="57"/>
      <c r="L48" s="57"/>
      <c r="M48" s="57"/>
    </row>
    <row r="49" spans="1:13" ht="47.25" x14ac:dyDescent="0.25">
      <c r="A49" s="72" t="s">
        <v>76</v>
      </c>
      <c r="B49" s="28" t="s">
        <v>85</v>
      </c>
      <c r="C49" s="77"/>
      <c r="D49" s="77"/>
      <c r="E49" s="77"/>
      <c r="F49" s="77"/>
      <c r="G49" s="77"/>
      <c r="H49" s="56">
        <f t="shared" ref="H49:M49" si="46">H42*H33*H16/1000</f>
        <v>22.524608630131027</v>
      </c>
      <c r="I49" s="56">
        <f t="shared" si="46"/>
        <v>26.301012767375532</v>
      </c>
      <c r="J49" s="56">
        <f t="shared" si="46"/>
        <v>24.988572485211655</v>
      </c>
      <c r="K49" s="56">
        <f t="shared" si="46"/>
        <v>30.011006502547669</v>
      </c>
      <c r="L49" s="56">
        <f t="shared" si="46"/>
        <v>29.399677473085539</v>
      </c>
      <c r="M49" s="56">
        <f t="shared" si="46"/>
        <v>31.820872700425166</v>
      </c>
    </row>
    <row r="50" spans="1:13" ht="15.75" customHeight="1" thickBot="1" x14ac:dyDescent="0.3">
      <c r="A50" s="73"/>
      <c r="B50" s="16" t="s">
        <v>87</v>
      </c>
      <c r="C50" s="78"/>
      <c r="D50" s="78"/>
      <c r="E50" s="78"/>
      <c r="F50" s="78"/>
      <c r="G50" s="78"/>
      <c r="H50" s="57"/>
      <c r="I50" s="57"/>
      <c r="J50" s="57"/>
      <c r="K50" s="57"/>
      <c r="L50" s="57"/>
      <c r="M50" s="57"/>
    </row>
    <row r="51" spans="1:13" ht="31.5" x14ac:dyDescent="0.25">
      <c r="A51" s="72" t="s">
        <v>83</v>
      </c>
      <c r="B51" s="28" t="s">
        <v>86</v>
      </c>
      <c r="C51" s="77"/>
      <c r="D51" s="77"/>
      <c r="E51" s="77"/>
      <c r="F51" s="77"/>
      <c r="G51" s="77"/>
      <c r="H51" s="56">
        <f t="shared" ref="H51:M51" si="47">H42*H38*H16/1000</f>
        <v>2.1990517781138323</v>
      </c>
      <c r="I51" s="56">
        <f t="shared" si="47"/>
        <v>2.7125387781400572</v>
      </c>
      <c r="J51" s="56">
        <f t="shared" si="47"/>
        <v>2.3549558042505372</v>
      </c>
      <c r="K51" s="56">
        <f t="shared" si="47"/>
        <v>2.3201862562932396</v>
      </c>
      <c r="L51" s="56">
        <f t="shared" si="47"/>
        <v>1.9885120607779856</v>
      </c>
      <c r="M51" s="56">
        <f t="shared" si="47"/>
        <v>2.076696214262074</v>
      </c>
    </row>
    <row r="52" spans="1:13" ht="15.75" customHeight="1" thickBot="1" x14ac:dyDescent="0.3">
      <c r="A52" s="73"/>
      <c r="B52" s="16" t="s">
        <v>88</v>
      </c>
      <c r="C52" s="78"/>
      <c r="D52" s="78"/>
      <c r="E52" s="78"/>
      <c r="F52" s="78"/>
      <c r="G52" s="78"/>
      <c r="H52" s="57"/>
      <c r="I52" s="57"/>
      <c r="J52" s="57"/>
      <c r="K52" s="57"/>
      <c r="L52" s="57"/>
      <c r="M52" s="57"/>
    </row>
    <row r="53" spans="1:13" ht="20.25" customHeight="1" x14ac:dyDescent="0.25">
      <c r="A53" s="72" t="s">
        <v>33</v>
      </c>
      <c r="B53" s="22" t="s">
        <v>79</v>
      </c>
      <c r="C53" s="77"/>
      <c r="D53" s="77"/>
      <c r="E53" s="77"/>
      <c r="F53" s="77"/>
      <c r="G53" s="77"/>
      <c r="H53" s="68">
        <f t="shared" ref="H53:M53" si="48">H44*1000/H4</f>
        <v>3.3382655983685353E-2</v>
      </c>
      <c r="I53" s="68">
        <f t="shared" si="48"/>
        <v>3.6689007822549587E-2</v>
      </c>
      <c r="J53" s="68">
        <f t="shared" si="48"/>
        <v>3.4404223426158016E-2</v>
      </c>
      <c r="K53" s="68">
        <f t="shared" si="48"/>
        <v>3.3530750580113004E-2</v>
      </c>
      <c r="L53" s="68">
        <f t="shared" si="48"/>
        <v>3.171976615469202E-2</v>
      </c>
      <c r="M53" s="68">
        <f t="shared" si="48"/>
        <v>3.2118107986225171E-2</v>
      </c>
    </row>
    <row r="54" spans="1:13" ht="15" customHeight="1" thickBot="1" x14ac:dyDescent="0.3">
      <c r="A54" s="73"/>
      <c r="B54" s="16" t="s">
        <v>78</v>
      </c>
      <c r="C54" s="78"/>
      <c r="D54" s="78"/>
      <c r="E54" s="78"/>
      <c r="F54" s="78"/>
      <c r="G54" s="78"/>
      <c r="H54" s="91"/>
      <c r="I54" s="91"/>
      <c r="J54" s="91"/>
      <c r="K54" s="91"/>
      <c r="L54" s="91"/>
      <c r="M54" s="91"/>
    </row>
  </sheetData>
  <mergeCells count="206">
    <mergeCell ref="B1:M1"/>
    <mergeCell ref="M47:M48"/>
    <mergeCell ref="M49:M50"/>
    <mergeCell ref="M51:M52"/>
    <mergeCell ref="M53:M54"/>
    <mergeCell ref="M2:M3"/>
    <mergeCell ref="M11:M12"/>
    <mergeCell ref="M17:M18"/>
    <mergeCell ref="M19:M20"/>
    <mergeCell ref="M21:M22"/>
    <mergeCell ref="H21:H22"/>
    <mergeCell ref="I21:I22"/>
    <mergeCell ref="J21:J22"/>
    <mergeCell ref="K21:K22"/>
    <mergeCell ref="H17:H18"/>
    <mergeCell ref="I35:I36"/>
    <mergeCell ref="J35:J36"/>
    <mergeCell ref="K35:K36"/>
    <mergeCell ref="I38:I39"/>
    <mergeCell ref="I25:I26"/>
    <mergeCell ref="J25:J26"/>
    <mergeCell ref="K25:K26"/>
    <mergeCell ref="I27:I28"/>
    <mergeCell ref="J27:J28"/>
    <mergeCell ref="K27:K28"/>
    <mergeCell ref="L53:L54"/>
    <mergeCell ref="L40:L41"/>
    <mergeCell ref="J38:J39"/>
    <mergeCell ref="K38:K39"/>
    <mergeCell ref="I40:I41"/>
    <mergeCell ref="J40:J41"/>
    <mergeCell ref="K40:K41"/>
    <mergeCell ref="I44:I45"/>
    <mergeCell ref="J44:J45"/>
    <mergeCell ref="K44:K45"/>
    <mergeCell ref="I47:I48"/>
    <mergeCell ref="J47:J48"/>
    <mergeCell ref="K47:K48"/>
    <mergeCell ref="I51:I52"/>
    <mergeCell ref="J51:J52"/>
    <mergeCell ref="K51:K52"/>
    <mergeCell ref="I53:I54"/>
    <mergeCell ref="J53:J54"/>
    <mergeCell ref="K53:K54"/>
    <mergeCell ref="J49:J50"/>
    <mergeCell ref="K49:K50"/>
    <mergeCell ref="I49:I50"/>
    <mergeCell ref="J30:J31"/>
    <mergeCell ref="H51:H52"/>
    <mergeCell ref="A51:A52"/>
    <mergeCell ref="C51:C52"/>
    <mergeCell ref="D51:D52"/>
    <mergeCell ref="E51:E52"/>
    <mergeCell ref="F51:F52"/>
    <mergeCell ref="G51:G52"/>
    <mergeCell ref="H49:H50"/>
    <mergeCell ref="A49:A50"/>
    <mergeCell ref="C49:C50"/>
    <mergeCell ref="D49:D50"/>
    <mergeCell ref="E49:E50"/>
    <mergeCell ref="F49:F50"/>
    <mergeCell ref="H40:H41"/>
    <mergeCell ref="A44:A46"/>
    <mergeCell ref="C44:C45"/>
    <mergeCell ref="D44:D45"/>
    <mergeCell ref="E44:E45"/>
    <mergeCell ref="F44:F45"/>
    <mergeCell ref="G44:G45"/>
    <mergeCell ref="H44:H45"/>
    <mergeCell ref="A53:A54"/>
    <mergeCell ref="C53:C54"/>
    <mergeCell ref="D53:D54"/>
    <mergeCell ref="E53:E54"/>
    <mergeCell ref="F53:F54"/>
    <mergeCell ref="G53:G54"/>
    <mergeCell ref="G49:G50"/>
    <mergeCell ref="H47:H48"/>
    <mergeCell ref="H53:H54"/>
    <mergeCell ref="A40:A41"/>
    <mergeCell ref="C40:C41"/>
    <mergeCell ref="D40:D41"/>
    <mergeCell ref="E40:E41"/>
    <mergeCell ref="F40:F41"/>
    <mergeCell ref="G40:G41"/>
    <mergeCell ref="A47:A48"/>
    <mergeCell ref="C47:C48"/>
    <mergeCell ref="D47:D48"/>
    <mergeCell ref="E47:E48"/>
    <mergeCell ref="F47:F48"/>
    <mergeCell ref="G47:G48"/>
    <mergeCell ref="A38:A39"/>
    <mergeCell ref="C38:C39"/>
    <mergeCell ref="D38:D39"/>
    <mergeCell ref="E38:E39"/>
    <mergeCell ref="F38:F39"/>
    <mergeCell ref="G38:G39"/>
    <mergeCell ref="H38:H39"/>
    <mergeCell ref="A35:A36"/>
    <mergeCell ref="C35:C36"/>
    <mergeCell ref="D35:D36"/>
    <mergeCell ref="E35:E36"/>
    <mergeCell ref="F35:F36"/>
    <mergeCell ref="G35:G36"/>
    <mergeCell ref="H35:H36"/>
    <mergeCell ref="I30:I31"/>
    <mergeCell ref="K30:K31"/>
    <mergeCell ref="A33:A34"/>
    <mergeCell ref="D33:D34"/>
    <mergeCell ref="E33:E34"/>
    <mergeCell ref="F33:F34"/>
    <mergeCell ref="G33:G34"/>
    <mergeCell ref="I33:I34"/>
    <mergeCell ref="J33:J34"/>
    <mergeCell ref="K33:K34"/>
    <mergeCell ref="H33:H34"/>
    <mergeCell ref="H30:H31"/>
    <mergeCell ref="H27:H28"/>
    <mergeCell ref="A25:A26"/>
    <mergeCell ref="C25:C26"/>
    <mergeCell ref="D25:D26"/>
    <mergeCell ref="E25:E26"/>
    <mergeCell ref="F25:F26"/>
    <mergeCell ref="G25:G26"/>
    <mergeCell ref="A30:A31"/>
    <mergeCell ref="C30:C31"/>
    <mergeCell ref="D30:D31"/>
    <mergeCell ref="E30:E31"/>
    <mergeCell ref="F30:F31"/>
    <mergeCell ref="G30:G31"/>
    <mergeCell ref="H25:H26"/>
    <mergeCell ref="A21:A23"/>
    <mergeCell ref="C21:C22"/>
    <mergeCell ref="D21:D22"/>
    <mergeCell ref="E21:E22"/>
    <mergeCell ref="F21:F22"/>
    <mergeCell ref="G21:G22"/>
    <mergeCell ref="A27:A28"/>
    <mergeCell ref="C27:C28"/>
    <mergeCell ref="D27:D28"/>
    <mergeCell ref="E27:E28"/>
    <mergeCell ref="F27:F28"/>
    <mergeCell ref="G27:G28"/>
    <mergeCell ref="I17:I18"/>
    <mergeCell ref="J17:J18"/>
    <mergeCell ref="K17:K18"/>
    <mergeCell ref="I19:I20"/>
    <mergeCell ref="J19:J20"/>
    <mergeCell ref="K19:K20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I2:I3"/>
    <mergeCell ref="J2:J3"/>
    <mergeCell ref="K2:K3"/>
    <mergeCell ref="A11:A12"/>
    <mergeCell ref="C11:C12"/>
    <mergeCell ref="D11:D12"/>
    <mergeCell ref="E11:E12"/>
    <mergeCell ref="F11:F12"/>
    <mergeCell ref="G11:G12"/>
    <mergeCell ref="G2:G3"/>
    <mergeCell ref="H2:H3"/>
    <mergeCell ref="A2:A3"/>
    <mergeCell ref="B2:B3"/>
    <mergeCell ref="C2:C3"/>
    <mergeCell ref="D2:D3"/>
    <mergeCell ref="E2:E3"/>
    <mergeCell ref="F2:F3"/>
    <mergeCell ref="H11:H12"/>
    <mergeCell ref="I11:I12"/>
    <mergeCell ref="J11:J12"/>
    <mergeCell ref="K11:K12"/>
    <mergeCell ref="L35:L36"/>
    <mergeCell ref="L38:L39"/>
    <mergeCell ref="L44:L45"/>
    <mergeCell ref="L47:L48"/>
    <mergeCell ref="L49:L50"/>
    <mergeCell ref="L51:L52"/>
    <mergeCell ref="O2:V2"/>
    <mergeCell ref="L17:L18"/>
    <mergeCell ref="L19:L20"/>
    <mergeCell ref="L21:L22"/>
    <mergeCell ref="L25:L26"/>
    <mergeCell ref="L27:L28"/>
    <mergeCell ref="L30:L31"/>
    <mergeCell ref="L33:L34"/>
    <mergeCell ref="L2:L3"/>
    <mergeCell ref="L11:L12"/>
    <mergeCell ref="M25:M26"/>
    <mergeCell ref="M27:M28"/>
    <mergeCell ref="M30:M31"/>
    <mergeCell ref="M33:M34"/>
    <mergeCell ref="M35:M36"/>
    <mergeCell ref="M38:M39"/>
    <mergeCell ref="M40:M41"/>
    <mergeCell ref="M44:M4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Вариант 1 (2)</vt:lpstr>
      <vt:lpstr>'Вариант 1 (2)'!Заголовки_для_печати</vt:lpstr>
      <vt:lpstr>'Вариант 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Казанцева Л.Ф.</dc:creator>
  <cp:lastModifiedBy>Сюмбель Мубинова</cp:lastModifiedBy>
  <cp:lastPrinted>2019-01-21T13:16:54Z</cp:lastPrinted>
  <dcterms:created xsi:type="dcterms:W3CDTF">2016-05-26T07:10:14Z</dcterms:created>
  <dcterms:modified xsi:type="dcterms:W3CDTF">2020-06-08T07:49:37Z</dcterms:modified>
</cp:coreProperties>
</file>