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umbel\Desktop\"/>
    </mc:Choice>
  </mc:AlternateContent>
  <bookViews>
    <workbookView xWindow="-120" yWindow="-120" windowWidth="29040" windowHeight="15840"/>
  </bookViews>
  <sheets>
    <sheet name="Консолид_бюджет(текущ)" sheetId="3" r:id="rId1"/>
    <sheet name="Консолид_(мод)" sheetId="7" r:id="rId2"/>
    <sheet name="Подбор зарплаты" sheetId="8" r:id="rId3"/>
    <sheet name="Подбор численности" sheetId="9" r:id="rId4"/>
    <sheet name="Подбор &quot;серый рынок&quot;" sheetId="10" r:id="rId5"/>
  </sheets>
  <definedNames>
    <definedName name="Дефицит_бюджета" localSheetId="1">#REF!</definedName>
    <definedName name="Дефицит_бюджета" localSheetId="4">#REF!</definedName>
    <definedName name="Дефицит_бюджета" localSheetId="2">#REF!</definedName>
    <definedName name="Дефицит_бюджета" localSheetId="3">#REF!</definedName>
    <definedName name="Дефицит_бюджета">#REF!</definedName>
    <definedName name="Доход" localSheetId="1">#REF!</definedName>
    <definedName name="Доход" localSheetId="4">#REF!</definedName>
    <definedName name="Доход" localSheetId="2">#REF!</definedName>
    <definedName name="Доход" localSheetId="3">#REF!</definedName>
    <definedName name="Доход">#REF!</definedName>
    <definedName name="ЖКХ" localSheetId="1">#REF!</definedName>
    <definedName name="ЖКХ" localSheetId="4">#REF!</definedName>
    <definedName name="ЖКХ" localSheetId="2">#REF!</definedName>
    <definedName name="ЖКХ" localSheetId="3">#REF!</definedName>
    <definedName name="ЖКХ">#REF!</definedName>
    <definedName name="Зарплата" localSheetId="1">#REF!</definedName>
    <definedName name="Зарплата" localSheetId="4">#REF!</definedName>
    <definedName name="Зарплата" localSheetId="2">#REF!</definedName>
    <definedName name="Зарплата" localSheetId="3">#REF!</definedName>
    <definedName name="Зарплата">#REF!</definedName>
    <definedName name="_xlnm.Print_Area" localSheetId="1">'Консолид_(мод)'!$G$2:$Q$51</definedName>
    <definedName name="_xlnm.Print_Area" localSheetId="0">'Консолид_бюджет(текущ)'!$G$2:$Q$51</definedName>
    <definedName name="_xlnm.Print_Area" localSheetId="4">'Подбор "серый рынок"'!$G$2:$Q$51</definedName>
    <definedName name="_xlnm.Print_Area" localSheetId="2">'Подбор зарплаты'!$G$2:$Q$51</definedName>
    <definedName name="_xlnm.Print_Area" localSheetId="3">'Подбор численности'!$G$2:$Q$51</definedName>
    <definedName name="Расход" localSheetId="1">#REF!</definedName>
    <definedName name="Расход" localSheetId="4">#REF!</definedName>
    <definedName name="Расход" localSheetId="2">#REF!</definedName>
    <definedName name="Расход" localSheetId="3">#REF!</definedName>
    <definedName name="Расход">#REF!</definedName>
  </definedNames>
  <calcPr calcId="191029"/>
</workbook>
</file>

<file path=xl/calcChain.xml><?xml version="1.0" encoding="utf-8"?>
<calcChain xmlns="http://schemas.openxmlformats.org/spreadsheetml/2006/main">
  <c r="Q23" i="3" l="1"/>
  <c r="Q25" i="3"/>
  <c r="T7" i="9"/>
  <c r="T7" i="10"/>
  <c r="T7" i="8"/>
  <c r="T7" i="3"/>
  <c r="X8" i="10"/>
  <c r="X8" i="9"/>
  <c r="X8" i="8"/>
  <c r="T30" i="3"/>
  <c r="X8" i="3"/>
  <c r="X42" i="10"/>
  <c r="X42" i="8"/>
  <c r="X42" i="3" l="1"/>
  <c r="Q30" i="3" l="1"/>
  <c r="Q23" i="7" l="1"/>
  <c r="I46" i="9"/>
  <c r="I46" i="8"/>
  <c r="I46" i="7"/>
  <c r="I46" i="3"/>
  <c r="H44" i="7"/>
  <c r="I42" i="7"/>
  <c r="I44" i="8"/>
  <c r="I44" i="7" s="1"/>
  <c r="H44" i="8"/>
  <c r="H44" i="10" s="1"/>
  <c r="I46" i="10"/>
  <c r="I41" i="3"/>
  <c r="I41" i="9" s="1"/>
  <c r="I42" i="10"/>
  <c r="Q27" i="10"/>
  <c r="I70" i="10"/>
  <c r="I69" i="10"/>
  <c r="I68" i="10"/>
  <c r="I67" i="10"/>
  <c r="T66" i="10"/>
  <c r="I66" i="10"/>
  <c r="T65" i="10"/>
  <c r="I65" i="10"/>
  <c r="I64" i="10"/>
  <c r="I63" i="10"/>
  <c r="I62" i="10"/>
  <c r="I61" i="10"/>
  <c r="I60" i="10"/>
  <c r="I59" i="10"/>
  <c r="I71" i="10" s="1"/>
  <c r="J55" i="10"/>
  <c r="O58" i="10" s="1"/>
  <c r="T44" i="10"/>
  <c r="T50" i="10" s="1"/>
  <c r="T33" i="10"/>
  <c r="T30" i="10"/>
  <c r="I29" i="10"/>
  <c r="T28" i="10"/>
  <c r="I27" i="10"/>
  <c r="I25" i="10"/>
  <c r="AF23" i="10"/>
  <c r="AF24" i="10" s="1"/>
  <c r="I22" i="10"/>
  <c r="AF21" i="10"/>
  <c r="AF20" i="10"/>
  <c r="AF18" i="10"/>
  <c r="AF17" i="10"/>
  <c r="Q17" i="10"/>
  <c r="AF15" i="10"/>
  <c r="AF25" i="10" s="1"/>
  <c r="AF14" i="10"/>
  <c r="Q13" i="10"/>
  <c r="T11" i="10"/>
  <c r="Q11" i="10"/>
  <c r="Q10" i="10"/>
  <c r="Q9" i="10"/>
  <c r="I42" i="3"/>
  <c r="I42" i="8"/>
  <c r="I42" i="9"/>
  <c r="I70" i="9"/>
  <c r="I69" i="9"/>
  <c r="I68" i="9"/>
  <c r="I67" i="9"/>
  <c r="I66" i="9"/>
  <c r="T65" i="9"/>
  <c r="T66" i="9" s="1"/>
  <c r="I65" i="9"/>
  <c r="I64" i="9"/>
  <c r="I63" i="9"/>
  <c r="I62" i="9"/>
  <c r="I61" i="9"/>
  <c r="I60" i="9"/>
  <c r="I59" i="9"/>
  <c r="I71" i="9" s="1"/>
  <c r="J56" i="9"/>
  <c r="J57" i="9" s="1"/>
  <c r="J55" i="9"/>
  <c r="O58" i="9" s="1"/>
  <c r="T44" i="9"/>
  <c r="T50" i="9" s="1"/>
  <c r="T37" i="9"/>
  <c r="T40" i="9" s="1"/>
  <c r="T30" i="9"/>
  <c r="T33" i="9" s="1"/>
  <c r="I29" i="9"/>
  <c r="T28" i="9"/>
  <c r="I27" i="9"/>
  <c r="I25" i="9"/>
  <c r="AF24" i="9"/>
  <c r="AF23" i="9"/>
  <c r="I22" i="9"/>
  <c r="AF20" i="9"/>
  <c r="AF21" i="9" s="1"/>
  <c r="T20" i="9"/>
  <c r="Q19" i="9"/>
  <c r="H42" i="9" s="1"/>
  <c r="AF18" i="9"/>
  <c r="AF17" i="9"/>
  <c r="Q17" i="9"/>
  <c r="I17" i="9"/>
  <c r="AF15" i="9"/>
  <c r="AF14" i="9"/>
  <c r="AF25" i="9" s="1"/>
  <c r="Q13" i="9"/>
  <c r="T11" i="9"/>
  <c r="Q11" i="9"/>
  <c r="Q10" i="9"/>
  <c r="Q9" i="9"/>
  <c r="AB5" i="9"/>
  <c r="Q13" i="8"/>
  <c r="Q11" i="8"/>
  <c r="Q10" i="8"/>
  <c r="Q9" i="8"/>
  <c r="I29" i="8"/>
  <c r="I27" i="8"/>
  <c r="I25" i="8"/>
  <c r="I22" i="8"/>
  <c r="I29" i="7"/>
  <c r="I27" i="7"/>
  <c r="I25" i="7"/>
  <c r="I22" i="7"/>
  <c r="Q10" i="7"/>
  <c r="Q11" i="7"/>
  <c r="Q13" i="7"/>
  <c r="Q9" i="7"/>
  <c r="I70" i="8"/>
  <c r="I69" i="8"/>
  <c r="I68" i="8"/>
  <c r="I67" i="8"/>
  <c r="I66" i="8"/>
  <c r="T65" i="8"/>
  <c r="T66" i="8" s="1"/>
  <c r="I65" i="8"/>
  <c r="I64" i="8"/>
  <c r="I63" i="8"/>
  <c r="I62" i="8"/>
  <c r="I61" i="8"/>
  <c r="I60" i="8"/>
  <c r="I59" i="8"/>
  <c r="I71" i="8" s="1"/>
  <c r="J56" i="8"/>
  <c r="J57" i="8" s="1"/>
  <c r="J55" i="8"/>
  <c r="O58" i="8" s="1"/>
  <c r="T44" i="8"/>
  <c r="T50" i="8" s="1"/>
  <c r="T37" i="8"/>
  <c r="T40" i="8" s="1"/>
  <c r="T30" i="8"/>
  <c r="T33" i="8" s="1"/>
  <c r="T28" i="8"/>
  <c r="AF23" i="8"/>
  <c r="AF24" i="8" s="1"/>
  <c r="AF20" i="8"/>
  <c r="AF21" i="8" s="1"/>
  <c r="T20" i="8"/>
  <c r="Q19" i="8"/>
  <c r="AF18" i="8"/>
  <c r="AF17" i="8"/>
  <c r="Q17" i="8"/>
  <c r="I17" i="8"/>
  <c r="AF15" i="8"/>
  <c r="AF14" i="8"/>
  <c r="T11" i="8"/>
  <c r="AB5" i="8"/>
  <c r="T65" i="7"/>
  <c r="T66" i="7" s="1"/>
  <c r="J55" i="7"/>
  <c r="O58" i="7" s="1"/>
  <c r="T44" i="7"/>
  <c r="T50" i="7" s="1"/>
  <c r="T28" i="7"/>
  <c r="AF23" i="7"/>
  <c r="AF24" i="7" s="1"/>
  <c r="AF21" i="7"/>
  <c r="AF20" i="7"/>
  <c r="AF18" i="7"/>
  <c r="AF17" i="7"/>
  <c r="AF15" i="7"/>
  <c r="AF25" i="7" s="1"/>
  <c r="AF14" i="7"/>
  <c r="T11" i="7"/>
  <c r="I70" i="3"/>
  <c r="Q19" i="3"/>
  <c r="H41" i="3" s="1"/>
  <c r="T11" i="3"/>
  <c r="Q17" i="3"/>
  <c r="T2" i="7" s="1"/>
  <c r="T37" i="3"/>
  <c r="T40" i="3" s="1"/>
  <c r="T41" i="3" s="1"/>
  <c r="X8" i="7" l="1"/>
  <c r="T7" i="7"/>
  <c r="I70" i="7"/>
  <c r="I44" i="9"/>
  <c r="I44" i="10"/>
  <c r="I44" i="3"/>
  <c r="H42" i="8"/>
  <c r="H42" i="10"/>
  <c r="H42" i="3"/>
  <c r="H42" i="7"/>
  <c r="H41" i="9"/>
  <c r="H41" i="7"/>
  <c r="I41" i="7"/>
  <c r="H44" i="9"/>
  <c r="H44" i="3"/>
  <c r="I41" i="10"/>
  <c r="I41" i="8"/>
  <c r="H41" i="8"/>
  <c r="H41" i="10"/>
  <c r="T12" i="10"/>
  <c r="T51" i="10"/>
  <c r="J61" i="9"/>
  <c r="J65" i="9"/>
  <c r="J68" i="9"/>
  <c r="T12" i="9"/>
  <c r="T41" i="9"/>
  <c r="X42" i="9" s="1"/>
  <c r="T51" i="9"/>
  <c r="J62" i="9"/>
  <c r="J69" i="9"/>
  <c r="J67" i="9"/>
  <c r="J64" i="9"/>
  <c r="J60" i="9"/>
  <c r="J63" i="9"/>
  <c r="J66" i="9"/>
  <c r="J70" i="9"/>
  <c r="J74" i="9"/>
  <c r="J59" i="9"/>
  <c r="J61" i="8"/>
  <c r="J65" i="8"/>
  <c r="J68" i="8"/>
  <c r="T41" i="8"/>
  <c r="J69" i="8"/>
  <c r="J64" i="8"/>
  <c r="J60" i="8"/>
  <c r="J67" i="8"/>
  <c r="J62" i="8"/>
  <c r="AF25" i="8"/>
  <c r="T51" i="8"/>
  <c r="J63" i="8"/>
  <c r="J66" i="8"/>
  <c r="J70" i="8"/>
  <c r="J59" i="8"/>
  <c r="J74" i="8"/>
  <c r="T6" i="7"/>
  <c r="T20" i="7" s="1"/>
  <c r="I67" i="7"/>
  <c r="I60" i="7"/>
  <c r="I64" i="7"/>
  <c r="Q17" i="7"/>
  <c r="I61" i="7"/>
  <c r="I65" i="7"/>
  <c r="I68" i="7"/>
  <c r="I62" i="7"/>
  <c r="I69" i="7"/>
  <c r="T30" i="7"/>
  <c r="I59" i="7"/>
  <c r="I71" i="7" s="1"/>
  <c r="I63" i="7"/>
  <c r="I66" i="7"/>
  <c r="T12" i="7"/>
  <c r="T51" i="7"/>
  <c r="I59" i="3"/>
  <c r="I60" i="3"/>
  <c r="I61" i="3"/>
  <c r="I62" i="3"/>
  <c r="I63" i="3"/>
  <c r="I64" i="3"/>
  <c r="I65" i="3"/>
  <c r="I66" i="3"/>
  <c r="I67" i="3"/>
  <c r="I68" i="3"/>
  <c r="I69" i="3"/>
  <c r="AB5" i="7" l="1"/>
  <c r="J56" i="7"/>
  <c r="J57" i="7" s="1"/>
  <c r="J63" i="7" s="1"/>
  <c r="I17" i="7"/>
  <c r="I76" i="10"/>
  <c r="I13" i="10"/>
  <c r="I76" i="9"/>
  <c r="J71" i="9"/>
  <c r="I13" i="9"/>
  <c r="J71" i="8"/>
  <c r="T12" i="8"/>
  <c r="T37" i="7"/>
  <c r="T40" i="7" s="1"/>
  <c r="Q19" i="7"/>
  <c r="Q27" i="7" s="1"/>
  <c r="T33" i="7"/>
  <c r="I76" i="7"/>
  <c r="I54" i="8" l="1"/>
  <c r="J66" i="7"/>
  <c r="J67" i="7"/>
  <c r="J61" i="7"/>
  <c r="J68" i="7"/>
  <c r="J64" i="7"/>
  <c r="I13" i="7"/>
  <c r="J70" i="7"/>
  <c r="J60" i="7"/>
  <c r="J62" i="7"/>
  <c r="J69" i="7"/>
  <c r="J59" i="7"/>
  <c r="J65" i="7"/>
  <c r="J74" i="7"/>
  <c r="I77" i="10"/>
  <c r="K71" i="9"/>
  <c r="I54" i="9"/>
  <c r="O56" i="9"/>
  <c r="I77" i="9"/>
  <c r="J76" i="9"/>
  <c r="O56" i="8"/>
  <c r="K71" i="8"/>
  <c r="I13" i="8"/>
  <c r="I76" i="8"/>
  <c r="T41" i="7"/>
  <c r="X42" i="7" s="1"/>
  <c r="I77" i="7"/>
  <c r="J76" i="7"/>
  <c r="I71" i="3"/>
  <c r="J55" i="3"/>
  <c r="T44" i="3"/>
  <c r="Q12" i="3"/>
  <c r="T50" i="3" l="1"/>
  <c r="O58" i="3"/>
  <c r="J56" i="3"/>
  <c r="J57" i="3" s="1"/>
  <c r="J59" i="3" s="1"/>
  <c r="Q12" i="9"/>
  <c r="Q7" i="9" s="1"/>
  <c r="Q12" i="8"/>
  <c r="Q7" i="8" s="1"/>
  <c r="Q12" i="7"/>
  <c r="Q7" i="7" s="1"/>
  <c r="Q12" i="10"/>
  <c r="Q7" i="10" s="1"/>
  <c r="J71" i="7"/>
  <c r="I78" i="10"/>
  <c r="I78" i="9"/>
  <c r="J77" i="9"/>
  <c r="I77" i="8"/>
  <c r="J76" i="8"/>
  <c r="J77" i="7"/>
  <c r="I78" i="7"/>
  <c r="I17" i="3"/>
  <c r="I33" i="3"/>
  <c r="K71" i="7" l="1"/>
  <c r="J74" i="3"/>
  <c r="T51" i="3"/>
  <c r="I54" i="7"/>
  <c r="O42" i="9"/>
  <c r="O44" i="9"/>
  <c r="O46" i="9"/>
  <c r="O41" i="9"/>
  <c r="O41" i="10"/>
  <c r="O44" i="10"/>
  <c r="O42" i="10"/>
  <c r="O46" i="10"/>
  <c r="O56" i="7"/>
  <c r="O41" i="7"/>
  <c r="O46" i="7"/>
  <c r="O44" i="7"/>
  <c r="O42" i="7"/>
  <c r="I33" i="10"/>
  <c r="I33" i="9"/>
  <c r="I33" i="8"/>
  <c r="I33" i="7"/>
  <c r="O46" i="8"/>
  <c r="O41" i="8"/>
  <c r="O44" i="8"/>
  <c r="O42" i="8"/>
  <c r="I79" i="10"/>
  <c r="I79" i="9"/>
  <c r="J78" i="9"/>
  <c r="I78" i="8"/>
  <c r="J77" i="8"/>
  <c r="I79" i="7"/>
  <c r="J78" i="7"/>
  <c r="T20" i="3"/>
  <c r="I80" i="10" l="1"/>
  <c r="I80" i="9"/>
  <c r="J79" i="9"/>
  <c r="I79" i="8"/>
  <c r="J78" i="8"/>
  <c r="I80" i="7"/>
  <c r="J79" i="7"/>
  <c r="T28" i="3"/>
  <c r="I81" i="10" l="1"/>
  <c r="I81" i="9"/>
  <c r="J80" i="9"/>
  <c r="J79" i="8"/>
  <c r="I80" i="8"/>
  <c r="I81" i="7"/>
  <c r="J80" i="7"/>
  <c r="T33" i="3"/>
  <c r="AF23" i="3"/>
  <c r="AF24" i="3" s="1"/>
  <c r="AF20" i="3"/>
  <c r="AF21" i="3" s="1"/>
  <c r="AF17" i="3"/>
  <c r="AF18" i="3" s="1"/>
  <c r="AF14" i="3"/>
  <c r="I82" i="10" l="1"/>
  <c r="I88" i="10"/>
  <c r="I82" i="9"/>
  <c r="J81" i="9"/>
  <c r="I88" i="9"/>
  <c r="I81" i="8"/>
  <c r="J80" i="8"/>
  <c r="J81" i="7"/>
  <c r="I82" i="7"/>
  <c r="I88" i="7"/>
  <c r="AF15" i="3"/>
  <c r="AF25" i="3" s="1"/>
  <c r="AB5" i="3"/>
  <c r="I83" i="10" l="1"/>
  <c r="I83" i="9"/>
  <c r="J82" i="9"/>
  <c r="I82" i="8"/>
  <c r="J81" i="8"/>
  <c r="I88" i="8"/>
  <c r="I83" i="7"/>
  <c r="J82" i="7"/>
  <c r="I76" i="3"/>
  <c r="T12" i="3"/>
  <c r="I13" i="3" l="1"/>
  <c r="I23" i="3" s="1"/>
  <c r="I84" i="10"/>
  <c r="I84" i="9"/>
  <c r="J83" i="9"/>
  <c r="I83" i="8"/>
  <c r="J82" i="8"/>
  <c r="J83" i="7"/>
  <c r="I84" i="7"/>
  <c r="I77" i="3"/>
  <c r="J76" i="3"/>
  <c r="Q7" i="3"/>
  <c r="O42" i="3" s="1"/>
  <c r="I23" i="10" l="1"/>
  <c r="J35" i="10" s="1"/>
  <c r="I23" i="7"/>
  <c r="J35" i="7" s="1"/>
  <c r="I23" i="9"/>
  <c r="J35" i="9" s="1"/>
  <c r="I23" i="8"/>
  <c r="J35" i="8" s="1"/>
  <c r="I85" i="10"/>
  <c r="I85" i="9"/>
  <c r="J84" i="9"/>
  <c r="J83" i="8"/>
  <c r="I84" i="8"/>
  <c r="I85" i="7"/>
  <c r="J84" i="7"/>
  <c r="I78" i="3"/>
  <c r="J77" i="3"/>
  <c r="I86" i="10" l="1"/>
  <c r="I86" i="9"/>
  <c r="J85" i="9"/>
  <c r="I85" i="8"/>
  <c r="J84" i="8"/>
  <c r="I86" i="7"/>
  <c r="J85" i="7"/>
  <c r="I79" i="3"/>
  <c r="J78" i="3"/>
  <c r="I87" i="10" l="1"/>
  <c r="I87" i="9"/>
  <c r="J87" i="9" s="1"/>
  <c r="J86" i="9"/>
  <c r="I86" i="8"/>
  <c r="J85" i="8"/>
  <c r="I87" i="7"/>
  <c r="J87" i="7" s="1"/>
  <c r="J86" i="7"/>
  <c r="I80" i="3"/>
  <c r="J79" i="3"/>
  <c r="J88" i="9" l="1"/>
  <c r="I10" i="9" s="1"/>
  <c r="I87" i="8"/>
  <c r="J87" i="8" s="1"/>
  <c r="J86" i="8"/>
  <c r="J88" i="7"/>
  <c r="I10" i="7" s="1"/>
  <c r="I81" i="3"/>
  <c r="J80" i="3"/>
  <c r="N35" i="3"/>
  <c r="J90" i="9" l="1"/>
  <c r="X17" i="9"/>
  <c r="J88" i="8"/>
  <c r="I10" i="8" s="1"/>
  <c r="J90" i="7"/>
  <c r="X17" i="7"/>
  <c r="I82" i="3"/>
  <c r="J81" i="3"/>
  <c r="I88" i="3"/>
  <c r="J60" i="3"/>
  <c r="J61" i="3"/>
  <c r="J62" i="3"/>
  <c r="J66" i="3"/>
  <c r="J70" i="3"/>
  <c r="H73" i="9" l="1"/>
  <c r="J73" i="9" s="1"/>
  <c r="N59" i="9"/>
  <c r="J19" i="9"/>
  <c r="L42" i="9" s="1"/>
  <c r="J90" i="8"/>
  <c r="X17" i="8"/>
  <c r="J19" i="7"/>
  <c r="Q20" i="7" s="1"/>
  <c r="H73" i="7"/>
  <c r="J73" i="7" s="1"/>
  <c r="N59" i="7"/>
  <c r="I83" i="3"/>
  <c r="J82" i="3"/>
  <c r="J69" i="3"/>
  <c r="J65" i="3"/>
  <c r="J68" i="3"/>
  <c r="J64" i="3"/>
  <c r="J67" i="3"/>
  <c r="J63" i="3"/>
  <c r="L42" i="10" l="1"/>
  <c r="L42" i="8"/>
  <c r="P42" i="8" s="1"/>
  <c r="L42" i="7"/>
  <c r="P42" i="7" s="1"/>
  <c r="L42" i="3"/>
  <c r="P42" i="9"/>
  <c r="Q20" i="9"/>
  <c r="H73" i="8"/>
  <c r="J73" i="8" s="1"/>
  <c r="N59" i="8"/>
  <c r="J19" i="8"/>
  <c r="Q33" i="3"/>
  <c r="I84" i="3"/>
  <c r="J83" i="3"/>
  <c r="J71" i="3"/>
  <c r="O44" i="3"/>
  <c r="O46" i="3"/>
  <c r="O41" i="3"/>
  <c r="J35" i="3"/>
  <c r="L44" i="8" l="1"/>
  <c r="Q20" i="8"/>
  <c r="I85" i="3"/>
  <c r="J84" i="3"/>
  <c r="K71" i="3"/>
  <c r="I54" i="3"/>
  <c r="O56" i="3"/>
  <c r="L44" i="7" l="1"/>
  <c r="P44" i="7" s="1"/>
  <c r="L44" i="10"/>
  <c r="P44" i="10" s="1"/>
  <c r="L44" i="9"/>
  <c r="P44" i="9" s="1"/>
  <c r="L44" i="3"/>
  <c r="P44" i="8"/>
  <c r="I86" i="3"/>
  <c r="I87" i="3" s="1"/>
  <c r="J85" i="3"/>
  <c r="J87" i="3" l="1"/>
  <c r="J86" i="3"/>
  <c r="P42" i="3"/>
  <c r="J88" i="3" l="1"/>
  <c r="I10" i="3" s="1"/>
  <c r="X17" i="3" l="1"/>
  <c r="J90" i="3"/>
  <c r="N59" i="3" l="1"/>
  <c r="J19" i="3"/>
  <c r="L41" i="3" s="1"/>
  <c r="H73" i="3"/>
  <c r="L41" i="8" l="1"/>
  <c r="L41" i="7"/>
  <c r="P41" i="7" s="1"/>
  <c r="L41" i="10"/>
  <c r="L41" i="9"/>
  <c r="J73" i="3"/>
  <c r="Q20" i="3"/>
  <c r="P41" i="3" l="1"/>
  <c r="P41" i="8" l="1"/>
  <c r="P41" i="9"/>
  <c r="P41" i="10"/>
  <c r="P44" i="3" l="1"/>
  <c r="T6" i="10" l="1"/>
  <c r="I17" i="10" s="1"/>
  <c r="T20" i="10" l="1"/>
  <c r="J56" i="10"/>
  <c r="J57" i="10" s="1"/>
  <c r="J77" i="10" s="1"/>
  <c r="J60" i="10"/>
  <c r="J79" i="10"/>
  <c r="J66" i="10"/>
  <c r="J65" i="10"/>
  <c r="J80" i="10"/>
  <c r="J87" i="10"/>
  <c r="J81" i="10"/>
  <c r="J78" i="10"/>
  <c r="J63" i="10"/>
  <c r="J59" i="10"/>
  <c r="J61" i="10"/>
  <c r="J83" i="10"/>
  <c r="J70" i="10"/>
  <c r="J84" i="10"/>
  <c r="J62" i="10"/>
  <c r="J85" i="10"/>
  <c r="J82" i="10"/>
  <c r="J68" i="10"/>
  <c r="J64" i="10"/>
  <c r="J86" i="10"/>
  <c r="J76" i="10"/>
  <c r="J74" i="10"/>
  <c r="AB5" i="10"/>
  <c r="Q19" i="10"/>
  <c r="H46" i="10" s="1"/>
  <c r="T37" i="10"/>
  <c r="J67" i="10" l="1"/>
  <c r="H46" i="3"/>
  <c r="H46" i="9"/>
  <c r="H46" i="8"/>
  <c r="H46" i="7"/>
  <c r="J69" i="10"/>
  <c r="J71" i="10" s="1"/>
  <c r="J88" i="10"/>
  <c r="T40" i="10"/>
  <c r="J90" i="10" l="1"/>
  <c r="I10" i="10"/>
  <c r="O56" i="10"/>
  <c r="I54" i="10"/>
  <c r="K71" i="10"/>
  <c r="X17" i="10"/>
  <c r="T41" i="10"/>
  <c r="J19" i="10" l="1"/>
  <c r="L46" i="10" s="1"/>
  <c r="H73" i="10"/>
  <c r="J73" i="10" s="1"/>
  <c r="N59" i="10"/>
  <c r="L46" i="9" l="1"/>
  <c r="P46" i="9" s="1"/>
  <c r="L46" i="8"/>
  <c r="P46" i="8" s="1"/>
  <c r="L46" i="7"/>
  <c r="P46" i="7" s="1"/>
  <c r="L46" i="3"/>
  <c r="P46" i="3" s="1"/>
  <c r="P46" i="10"/>
  <c r="Q20" i="10"/>
  <c r="P42" i="10"/>
</calcChain>
</file>

<file path=xl/comments1.xml><?xml version="1.0" encoding="utf-8"?>
<comments xmlns="http://schemas.openxmlformats.org/spreadsheetml/2006/main">
  <authors>
    <author>lkazan</author>
  </authors>
  <commentList>
    <comment ref="T12" authorId="0" shapeId="0">
      <text>
        <r>
          <rPr>
            <b/>
            <sz val="8"/>
            <color indexed="81"/>
            <rFont val="Tahoma"/>
            <family val="2"/>
            <charset val="204"/>
          </rPr>
          <t>lkazan:</t>
        </r>
        <r>
          <rPr>
            <sz val="8"/>
            <color indexed="81"/>
            <rFont val="Tahoma"/>
            <family val="2"/>
            <charset val="204"/>
          </rPr>
          <t xml:space="preserve">
Доход за минусом расходов принимается равным среднедушевому доходу, налоговая ставка - 6%</t>
        </r>
      </text>
    </comment>
  </commentList>
</comments>
</file>

<file path=xl/comments2.xml><?xml version="1.0" encoding="utf-8"?>
<comments xmlns="http://schemas.openxmlformats.org/spreadsheetml/2006/main">
  <authors>
    <author>lkazan</author>
  </authors>
  <commentList>
    <comment ref="T12" authorId="0" shapeId="0">
      <text>
        <r>
          <rPr>
            <b/>
            <sz val="8"/>
            <color indexed="81"/>
            <rFont val="Tahoma"/>
            <family val="2"/>
            <charset val="204"/>
          </rPr>
          <t>lkazan:</t>
        </r>
        <r>
          <rPr>
            <sz val="8"/>
            <color indexed="81"/>
            <rFont val="Tahoma"/>
            <family val="2"/>
            <charset val="204"/>
          </rPr>
          <t xml:space="preserve">
Доход за минусом расходов принимается равным среднедушевому доходу, налоговая ставка - 6%</t>
        </r>
      </text>
    </comment>
  </commentList>
</comments>
</file>

<file path=xl/comments3.xml><?xml version="1.0" encoding="utf-8"?>
<comments xmlns="http://schemas.openxmlformats.org/spreadsheetml/2006/main">
  <authors>
    <author>lkazan</author>
  </authors>
  <commentList>
    <comment ref="T12" authorId="0" shapeId="0">
      <text>
        <r>
          <rPr>
            <b/>
            <sz val="8"/>
            <color indexed="81"/>
            <rFont val="Tahoma"/>
            <family val="2"/>
            <charset val="204"/>
          </rPr>
          <t>lkazan:</t>
        </r>
        <r>
          <rPr>
            <sz val="8"/>
            <color indexed="81"/>
            <rFont val="Tahoma"/>
            <family val="2"/>
            <charset val="204"/>
          </rPr>
          <t xml:space="preserve">
Доход за минусом расходов принимается равным среднедушевому доходу, налоговая ставка - 6%</t>
        </r>
      </text>
    </comment>
  </commentList>
</comments>
</file>

<file path=xl/comments4.xml><?xml version="1.0" encoding="utf-8"?>
<comments xmlns="http://schemas.openxmlformats.org/spreadsheetml/2006/main">
  <authors>
    <author>lkazan</author>
  </authors>
  <commentList>
    <comment ref="T12" authorId="0" shapeId="0">
      <text>
        <r>
          <rPr>
            <b/>
            <sz val="8"/>
            <color indexed="81"/>
            <rFont val="Tahoma"/>
            <family val="2"/>
            <charset val="204"/>
          </rPr>
          <t>lkazan:</t>
        </r>
        <r>
          <rPr>
            <sz val="8"/>
            <color indexed="81"/>
            <rFont val="Tahoma"/>
            <family val="2"/>
            <charset val="204"/>
          </rPr>
          <t xml:space="preserve">
Доход за минусом расходов принимается равным среднедушевому доходу, налоговая ставка - 6%</t>
        </r>
      </text>
    </comment>
  </commentList>
</comments>
</file>

<file path=xl/comments5.xml><?xml version="1.0" encoding="utf-8"?>
<comments xmlns="http://schemas.openxmlformats.org/spreadsheetml/2006/main">
  <authors>
    <author>lkazan</author>
  </authors>
  <commentList>
    <comment ref="T12" authorId="0" shapeId="0">
      <text>
        <r>
          <rPr>
            <b/>
            <sz val="8"/>
            <color indexed="81"/>
            <rFont val="Tahoma"/>
            <family val="2"/>
            <charset val="204"/>
          </rPr>
          <t>lkazan:</t>
        </r>
        <r>
          <rPr>
            <sz val="8"/>
            <color indexed="81"/>
            <rFont val="Tahoma"/>
            <family val="2"/>
            <charset val="204"/>
          </rPr>
          <t xml:space="preserve">
Доход за минусом расходов принимается равным среднедушевому доходу, налоговая ставка - 6%</t>
        </r>
      </text>
    </comment>
  </commentList>
</comments>
</file>

<file path=xl/sharedStrings.xml><?xml version="1.0" encoding="utf-8"?>
<sst xmlns="http://schemas.openxmlformats.org/spreadsheetml/2006/main" count="772" uniqueCount="128">
  <si>
    <t>Вариант 1</t>
  </si>
  <si>
    <t>ИСПОЛЬЗОВАНИЕ НАЛОГОВЫХ ПОСТУПЛЕНИЙ ПРИ ИСПОЛНЕНИИ БЮДЖЕТА</t>
  </si>
  <si>
    <t>млн. руб. в год</t>
  </si>
  <si>
    <t>Постоянная часть консолиди-рованного бюджета</t>
  </si>
  <si>
    <t>Всего</t>
  </si>
  <si>
    <t>в том числе:</t>
  </si>
  <si>
    <t>Работник</t>
  </si>
  <si>
    <t>Образование</t>
  </si>
  <si>
    <t xml:space="preserve">Налог на доходы физ. лиц </t>
  </si>
  <si>
    <t xml:space="preserve">ВСЕГО: </t>
  </si>
  <si>
    <t>Переменная часть консолиди-рованного бюджета (бюджет развития)</t>
  </si>
  <si>
    <t>Налоги на прибыль организаций</t>
  </si>
  <si>
    <t>Налоги на имущество</t>
  </si>
  <si>
    <t>Работодатель</t>
  </si>
  <si>
    <t>Акцизы</t>
  </si>
  <si>
    <t>Дефицит бюджета, млн. руб. в год:</t>
  </si>
  <si>
    <t>Прочие</t>
  </si>
  <si>
    <t xml:space="preserve">   </t>
  </si>
  <si>
    <t>При</t>
  </si>
  <si>
    <t>и средней зарплате (руб. в мес.)</t>
  </si>
  <si>
    <t>Отчисления на соц. сферу составят (млн.руб. в год)</t>
  </si>
  <si>
    <t>а потребность составляет (млн.руб.в год)</t>
  </si>
  <si>
    <t>При привлечении "серого" рынка</t>
  </si>
  <si>
    <t>Допустимо возожный уровень занятых в экономике</t>
  </si>
  <si>
    <t xml:space="preserve">средняя зарплата должна быть </t>
  </si>
  <si>
    <t>дополнительные отчисления в фонд соц. страхования:</t>
  </si>
  <si>
    <t>Снижение ставки за счет регрессивной шкалы:</t>
  </si>
  <si>
    <t>снижение налогооблагаемой зарплаты за счет социальных вычетов на (руб.):</t>
  </si>
  <si>
    <t>Ср.зарплата</t>
  </si>
  <si>
    <t>Подоходный налог</t>
  </si>
  <si>
    <t>янв.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</si>
  <si>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</si>
  <si>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</si>
  <si>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</si>
  <si>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</si>
  <si>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</si>
  <si>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</si>
  <si>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</si>
  <si>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</si>
  <si>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</si>
  <si>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</si>
  <si>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</si>
  <si>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Культура, искусство и СМИ</t>
  </si>
  <si>
    <t>Налоги на совокупный доход</t>
  </si>
  <si>
    <t>Тогда        либо*</t>
  </si>
  <si>
    <t>либо**</t>
  </si>
  <si>
    <t>Платежи за пользование природными ресурсами</t>
  </si>
  <si>
    <t>Налоги на совокупный доход 
(аналог НДФЛ для ИЧП)</t>
  </si>
  <si>
    <r>
      <t>Численности работающих</t>
    </r>
    <r>
      <rPr>
        <sz val="10"/>
        <color indexed="18"/>
        <rFont val="Arial Cyr"/>
        <charset val="204"/>
      </rPr>
      <t xml:space="preserve"> (тыс. чел.)</t>
    </r>
  </si>
  <si>
    <t xml:space="preserve"> * необходимая численность работающих при сложившемся уровне заработной плате</t>
  </si>
  <si>
    <t xml:space="preserve"> ** необходимый уровень заработной платы при фактической численности работников</t>
  </si>
  <si>
    <t>Численность работающих, тыс. чел.</t>
  </si>
  <si>
    <t>Факт</t>
  </si>
  <si>
    <t>Моделирование</t>
  </si>
  <si>
    <t>вычет тольно на ребенка</t>
  </si>
  <si>
    <t xml:space="preserve"> доля детей, прих. на работающих</t>
  </si>
  <si>
    <t>Текущее состояние</t>
  </si>
  <si>
    <t>Задайте:</t>
  </si>
  <si>
    <t>Размер заработной платы, руб.</t>
  </si>
  <si>
    <t>Доля населения, привлекаемого  с "серого" рынка труда</t>
  </si>
  <si>
    <t>Тогда:</t>
  </si>
  <si>
    <t xml:space="preserve"> работающие + серый рынок</t>
  </si>
  <si>
    <t>Численность работающих с учетом "серого" рынка труда, тыс. чел.</t>
  </si>
  <si>
    <t>Некоторые результаты обследования малых предприятий (включая микропредприятия) за январь-март 2019г.</t>
  </si>
  <si>
    <t>Муниципальные районы (городские округа)</t>
  </si>
  <si>
    <t>Малые и микропредприятия (оценка)</t>
  </si>
  <si>
    <r>
      <t>Количество предприятий, единиц</t>
    </r>
    <r>
      <rPr>
        <b/>
        <vertAlign val="superscript"/>
        <sz val="9"/>
        <rFont val="Times New Roman CYR"/>
        <charset val="204"/>
      </rPr>
      <t>1)</t>
    </r>
  </si>
  <si>
    <t>Среднесписочная численность работников, человек</t>
  </si>
  <si>
    <t>Среднемесячная зарплата работников,
рублей</t>
  </si>
  <si>
    <t>Оборот предприятий, тыс. рублей</t>
  </si>
  <si>
    <t>Республика Татарстан</t>
  </si>
  <si>
    <t>Здравоохранение</t>
  </si>
  <si>
    <t xml:space="preserve">Физическая культура и спорт </t>
  </si>
  <si>
    <t>Социальная политика</t>
  </si>
  <si>
    <t xml:space="preserve">Расходы бюджета в 2022 году, млн. руб. </t>
  </si>
  <si>
    <t>Средняя заработная плата за 2022г. (янв-дек)</t>
  </si>
  <si>
    <t>Средняя заработная плата в 2022 г.,  руб.</t>
  </si>
  <si>
    <t>ИЧП</t>
  </si>
  <si>
    <t>наемных работников</t>
  </si>
  <si>
    <t xml:space="preserve">по данным Сплошного статистического наблюдения малого и среднего бизнеса за 2020 год </t>
  </si>
  <si>
    <t>Ср.доход за 2022 год</t>
  </si>
  <si>
    <t>тыс.чел. - трудовые ресурсы в 2020 году (численность рабочей силы)</t>
  </si>
  <si>
    <t>самозанятые 2018 год</t>
  </si>
  <si>
    <t>имеют нулевой доход</t>
  </si>
  <si>
    <t>чел. имеют нулевой доход</t>
  </si>
  <si>
    <t xml:space="preserve">средняя заработная плата </t>
  </si>
  <si>
    <t>Численность работающих в 2022 г., тыс. чел.</t>
  </si>
  <si>
    <t xml:space="preserve">Отчисления на  </t>
  </si>
  <si>
    <t>социальное страхование</t>
  </si>
  <si>
    <t>тыс. чел. работающие на малых предприятиях(Сплошное статистическое наблюдение малого и среднего бизнеса-2020 год)</t>
  </si>
  <si>
    <t>всего серый рынок (Баланс трудовых ресурсов за 2022 год)</t>
  </si>
  <si>
    <t>работников с зарплатой более 5 млн. чел. (распред. По ЗПЛ за 2021 год)</t>
  </si>
  <si>
    <t>чел. с зарплатой выше 5 млн. чел.</t>
  </si>
  <si>
    <t>млн. рублей НДФЛ с ЗПЛ превышающей 5 млн. рублей (Отчет с сайта МФ РТ)</t>
  </si>
  <si>
    <t>тыс. чел. ИЧП по состоянию на 01.01.2023 год (ЭДО)</t>
  </si>
  <si>
    <t xml:space="preserve"> - тыс. руб. в год налог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</si>
  <si>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</si>
  <si>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010</t>
  </si>
  <si>
    <t>000</t>
  </si>
  <si>
    <t>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</si>
  <si>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</si>
  <si>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</si>
  <si>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</si>
  <si>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10102040010000110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</si>
  <si>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</si>
  <si>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</si>
  <si>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</si>
  <si>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10102090010000110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</si>
  <si>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</si>
  <si>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10102100010000110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</si>
  <si>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</si>
  <si>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10102110010000110</t>
  </si>
  <si>
    <t>млн. рублей НДФЛ с прочих доходов (Отчет с сайта МФ РТ)</t>
  </si>
  <si>
    <t>чел. численность населения РТ в среднем за 2022 год</t>
  </si>
  <si>
    <t>руб. средний НДФЛ (13%), приходящийся на одного человека</t>
  </si>
  <si>
    <t>руб.средний доход, с которого начисляется НДФЛ в 13%</t>
  </si>
  <si>
    <t>руб.средняя заработная плата, с которой начисляется НДФЛ в 15%</t>
  </si>
  <si>
    <t>руб. необлагаемая часть заработной платы</t>
  </si>
  <si>
    <t>тыс. детей  0 - 17 лет + учащиеся и студенты от 18 до 23 лет</t>
  </si>
  <si>
    <t xml:space="preserve">тыс. чел. работающие у ИЧП </t>
  </si>
  <si>
    <t>вычет только на ребенка</t>
  </si>
  <si>
    <t>млн.руб. НДФЛ в 2022 году (данные МФ РТ)</t>
  </si>
  <si>
    <t>коэффициент корректировки</t>
  </si>
  <si>
    <t>руб. средняя зпл ИЧП (равна среднедушевому доходу)</t>
  </si>
  <si>
    <t>руб. в месяц средний НДФЛ (15%), приходящийся на одного работника</t>
  </si>
  <si>
    <t>доя работников у ИЧП</t>
  </si>
  <si>
    <t>тыс. чел. - Численность работающих, включая СМП за 2022 г. (янв-дек)</t>
  </si>
  <si>
    <t>Численность + "серый рынок"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</si>
</sst>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_р_._-;\-* #,##0.00_р_._-;_-* &quot;-&quot;??_р_._-;_-@_-"/>
    <numFmt numFmtId="168" formatCode="0.0%"/>
    <numFmt numFmtId="169" formatCode="0.0"/>
    <numFmt numFmtId="170" formatCode="0.000%"/>
    <numFmt numFmtId="171" formatCode="#,##0.0"/>
    <numFmt numFmtId="172" formatCode="#,##0.00_ ;\-#,##0.00\ "/>
  </numFmts>
  <fonts count="39" x14ac:knownFonts="1">
    <font>
      <sz val="10"/>
      <name val="Times New Roman Cyr"/>
      <charset val="204"/>
    </font>
    <font>
      <sz val="10"/>
      <name val="Times New Roman Cyr"/>
      <charset val="204"/>
    </font>
    <font>
      <sz val="10"/>
      <name val="Arial Cyr"/>
      <charset val="204"/>
    </font>
    <font>
      <b/>
      <sz val="10"/>
      <color indexed="9"/>
      <name val="Arial Cyr"/>
      <family val="2"/>
      <charset val="204"/>
    </font>
    <font>
      <b/>
      <sz val="10"/>
      <name val="Times New Roman Cyr"/>
      <family val="1"/>
      <charset val="204"/>
    </font>
    <font>
      <sz val="10"/>
      <color indexed="18"/>
      <name val="Arial Cyr"/>
      <charset val="204"/>
    </font>
    <font>
      <sz val="14"/>
      <color indexed="18"/>
      <name val="Arial Cyr"/>
      <family val="2"/>
      <charset val="204"/>
    </font>
    <font>
      <b/>
      <sz val="10"/>
      <color indexed="18"/>
      <name val="Arial Cyr"/>
      <family val="2"/>
      <charset val="204"/>
    </font>
    <font>
      <sz val="8"/>
      <color indexed="18"/>
      <name val="Arial Cyr"/>
      <family val="2"/>
      <charset val="204"/>
    </font>
    <font>
      <b/>
      <sz val="10"/>
      <color indexed="18"/>
      <name val="Times New Roman Cyr"/>
      <family val="1"/>
      <charset val="204"/>
    </font>
    <font>
      <b/>
      <i/>
      <sz val="10"/>
      <color indexed="18"/>
      <name val="Times New Roman Cyr"/>
      <family val="1"/>
      <charset val="204"/>
    </font>
    <font>
      <b/>
      <i/>
      <sz val="10"/>
      <color indexed="18"/>
      <name val="Arial Cyr"/>
      <family val="2"/>
      <charset val="204"/>
    </font>
    <font>
      <i/>
      <sz val="10"/>
      <color indexed="18"/>
      <name val="Arial Cyr"/>
      <charset val="204"/>
    </font>
    <font>
      <b/>
      <i/>
      <sz val="12"/>
      <color indexed="18"/>
      <name val="Times New Roman Cyr"/>
      <family val="1"/>
      <charset val="204"/>
    </font>
    <font>
      <b/>
      <i/>
      <sz val="12"/>
      <color indexed="18"/>
      <name val="Arial Cyr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0"/>
      <color indexed="18"/>
      <name val="Arial Cyr"/>
      <charset val="204"/>
    </font>
    <font>
      <sz val="10"/>
      <color theme="3" tint="-0.249977111117893"/>
      <name val="Arial Cyr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2"/>
      <color indexed="18"/>
      <name val="Times New Roman Cyr"/>
      <family val="1"/>
      <charset val="204"/>
    </font>
    <font>
      <sz val="14"/>
      <color indexed="18"/>
      <name val="Arial Cyr"/>
      <charset val="204"/>
    </font>
    <font>
      <b/>
      <i/>
      <sz val="10"/>
      <color indexed="18"/>
      <name val="Arial Cyr"/>
      <charset val="204"/>
    </font>
    <font>
      <sz val="10"/>
      <color rgb="FFFF0000"/>
      <name val="Arial Cyr"/>
      <charset val="204"/>
    </font>
    <font>
      <i/>
      <sz val="9"/>
      <color indexed="18"/>
      <name val="Arial Cyr"/>
      <charset val="204"/>
    </font>
    <font>
      <b/>
      <sz val="10"/>
      <name val="Times New Roman Cyr"/>
      <charset val="204"/>
    </font>
    <font>
      <b/>
      <sz val="12"/>
      <color theme="4" tint="-0.499984740745262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vertAlign val="superscript"/>
      <sz val="9"/>
      <name val="Times New Roman CYR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</font>
    <font>
      <sz val="9"/>
      <name val="Arial Cyr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ck">
        <color indexed="1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18"/>
      </right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18"/>
      </top>
      <bottom style="thin">
        <color indexed="18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/>
      <right style="thick">
        <color theme="3"/>
      </right>
      <top style="thin">
        <color theme="3"/>
      </top>
      <bottom style="thin">
        <color theme="3"/>
      </bottom>
      <diagonal/>
    </border>
    <border>
      <left style="thick">
        <color theme="3"/>
      </left>
      <right style="thick">
        <color indexed="18"/>
      </right>
      <top/>
      <bottom/>
      <diagonal/>
    </border>
    <border>
      <left/>
      <right style="thick">
        <color theme="3"/>
      </right>
      <top style="thin">
        <color indexed="64"/>
      </top>
      <bottom style="medium">
        <color indexed="64"/>
      </bottom>
      <diagonal/>
    </border>
    <border>
      <left/>
      <right style="thick">
        <color theme="3"/>
      </right>
      <top style="medium">
        <color indexed="64"/>
      </top>
      <bottom/>
      <diagonal/>
    </border>
    <border>
      <left/>
      <right style="thick">
        <color theme="3"/>
      </right>
      <top/>
      <bottom style="medium">
        <color indexed="64"/>
      </bottom>
      <diagonal/>
    </border>
    <border>
      <left style="thick">
        <color theme="3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/>
      <right style="thick">
        <color theme="3"/>
      </right>
      <top style="thin">
        <color indexed="18"/>
      </top>
      <bottom style="thin">
        <color indexed="18"/>
      </bottom>
      <diagonal/>
    </border>
    <border>
      <left style="thick">
        <color theme="3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ck">
        <color theme="3"/>
      </left>
      <right style="thin">
        <color indexed="18"/>
      </right>
      <top/>
      <bottom/>
      <diagonal/>
    </border>
    <border>
      <left/>
      <right style="thick">
        <color theme="3"/>
      </right>
      <top style="thin">
        <color indexed="18"/>
      </top>
      <bottom/>
      <diagonal/>
    </border>
    <border>
      <left style="thick">
        <color theme="3"/>
      </left>
      <right style="thin">
        <color indexed="64"/>
      </right>
      <top/>
      <bottom/>
      <diagonal/>
    </border>
    <border>
      <left style="thick">
        <color theme="3"/>
      </left>
      <right style="thin">
        <color indexed="64"/>
      </right>
      <top/>
      <bottom style="medium">
        <color indexed="64"/>
      </bottom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ck">
        <color theme="3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64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/>
      <diagonal/>
    </border>
    <border>
      <left style="thin">
        <color indexed="64"/>
      </left>
      <right style="thin">
        <color indexed="18"/>
      </right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64"/>
      </bottom>
      <diagonal/>
    </border>
    <border>
      <left style="thin">
        <color indexed="18"/>
      </left>
      <right/>
      <top/>
      <bottom style="thin">
        <color indexed="64"/>
      </bottom>
      <diagonal/>
    </border>
    <border>
      <left/>
      <right style="thin">
        <color indexed="18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2" fillId="0" borderId="0"/>
    <xf numFmtId="9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4" fontId="32" fillId="0" borderId="0" applyFont="0" applyFill="0" applyBorder="0" applyAlignment="0" applyProtection="0"/>
  </cellStyleXfs>
  <cellXfs count="259">
    <xf numFmtId="0" fontId="0" fillId="0" borderId="0" xfId="0"/>
    <xf numFmtId="0" fontId="3" fillId="0" borderId="0" xfId="1" applyFont="1"/>
    <xf numFmtId="0" fontId="5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7" fillId="0" borderId="0" xfId="1" applyFont="1"/>
    <xf numFmtId="0" fontId="9" fillId="0" borderId="0" xfId="1" applyFont="1"/>
    <xf numFmtId="3" fontId="7" fillId="0" borderId="0" xfId="1" applyNumberFormat="1" applyFont="1"/>
    <xf numFmtId="3" fontId="5" fillId="0" borderId="0" xfId="1" applyNumberFormat="1" applyFont="1"/>
    <xf numFmtId="0" fontId="10" fillId="0" borderId="0" xfId="1" applyFont="1"/>
    <xf numFmtId="3" fontId="7" fillId="0" borderId="0" xfId="1" applyNumberFormat="1" applyFont="1" applyAlignment="1">
      <alignment horizontal="right"/>
    </xf>
    <xf numFmtId="170" fontId="5" fillId="0" borderId="0" xfId="1" applyNumberFormat="1" applyFont="1"/>
    <xf numFmtId="3" fontId="7" fillId="2" borderId="0" xfId="1" applyNumberFormat="1" applyFont="1" applyFill="1"/>
    <xf numFmtId="0" fontId="10" fillId="0" borderId="0" xfId="1" applyFont="1" applyAlignment="1">
      <alignment horizontal="right" vertic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5" fillId="0" borderId="14" xfId="1" applyFont="1" applyBorder="1"/>
    <xf numFmtId="0" fontId="5" fillId="0" borderId="6" xfId="1" applyFont="1" applyBorder="1"/>
    <xf numFmtId="3" fontId="5" fillId="0" borderId="13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top" wrapText="1"/>
    </xf>
    <xf numFmtId="0" fontId="5" fillId="0" borderId="24" xfId="1" applyFont="1" applyBorder="1"/>
    <xf numFmtId="3" fontId="5" fillId="0" borderId="24" xfId="1" applyNumberFormat="1" applyFont="1" applyBorder="1" applyAlignment="1">
      <alignment horizontal="center"/>
    </xf>
    <xf numFmtId="1" fontId="5" fillId="0" borderId="24" xfId="1" applyNumberFormat="1" applyFont="1" applyBorder="1" applyAlignment="1">
      <alignment horizontal="center"/>
    </xf>
    <xf numFmtId="0" fontId="5" fillId="0" borderId="27" xfId="1" applyFont="1" applyBorder="1"/>
    <xf numFmtId="0" fontId="10" fillId="0" borderId="28" xfId="1" applyFont="1" applyBorder="1" applyAlignment="1">
      <alignment horizontal="right" vertical="center"/>
    </xf>
    <xf numFmtId="0" fontId="5" fillId="0" borderId="5" xfId="1" applyFont="1" applyBorder="1"/>
    <xf numFmtId="0" fontId="13" fillId="0" borderId="1" xfId="1" applyFont="1" applyBorder="1" applyAlignment="1">
      <alignment horizontal="left" indent="1"/>
    </xf>
    <xf numFmtId="3" fontId="5" fillId="0" borderId="21" xfId="1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 vertical="center"/>
    </xf>
    <xf numFmtId="0" fontId="13" fillId="0" borderId="1" xfId="1" applyFont="1" applyBorder="1"/>
    <xf numFmtId="0" fontId="5" fillId="0" borderId="1" xfId="1" applyFont="1" applyBorder="1"/>
    <xf numFmtId="0" fontId="5" fillId="0" borderId="20" xfId="1" applyFont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6" fillId="4" borderId="0" xfId="1" applyFont="1" applyFill="1" applyAlignment="1">
      <alignment horizontal="right"/>
    </xf>
    <xf numFmtId="0" fontId="5" fillId="4" borderId="0" xfId="1" applyFont="1" applyFill="1"/>
    <xf numFmtId="0" fontId="7" fillId="4" borderId="0" xfId="1" applyFont="1" applyFill="1" applyAlignment="1">
      <alignment horizontal="center"/>
    </xf>
    <xf numFmtId="0" fontId="8" fillId="4" borderId="0" xfId="1" applyFont="1" applyFill="1" applyAlignment="1">
      <alignment horizontal="center" vertical="center" wrapText="1"/>
    </xf>
    <xf numFmtId="3" fontId="5" fillId="4" borderId="0" xfId="1" applyNumberFormat="1" applyFont="1" applyFill="1"/>
    <xf numFmtId="0" fontId="6" fillId="4" borderId="0" xfId="1" applyFont="1" applyFill="1"/>
    <xf numFmtId="0" fontId="5" fillId="4" borderId="0" xfId="1" applyFont="1" applyFill="1" applyAlignment="1">
      <alignment horizontal="right"/>
    </xf>
    <xf numFmtId="0" fontId="7" fillId="4" borderId="0" xfId="1" applyFont="1" applyFill="1" applyAlignment="1">
      <alignment horizontal="right"/>
    </xf>
    <xf numFmtId="168" fontId="7" fillId="4" borderId="0" xfId="2" applyNumberFormat="1" applyFont="1" applyFill="1"/>
    <xf numFmtId="10" fontId="5" fillId="4" borderId="0" xfId="1" applyNumberFormat="1" applyFont="1" applyFill="1"/>
    <xf numFmtId="0" fontId="5" fillId="4" borderId="10" xfId="1" applyFont="1" applyFill="1" applyBorder="1"/>
    <xf numFmtId="0" fontId="5" fillId="4" borderId="15" xfId="1" applyFont="1" applyFill="1" applyBorder="1"/>
    <xf numFmtId="0" fontId="5" fillId="4" borderId="7" xfId="1" applyFont="1" applyFill="1" applyBorder="1" applyAlignment="1">
      <alignment wrapText="1"/>
    </xf>
    <xf numFmtId="0" fontId="5" fillId="4" borderId="10" xfId="1" applyFont="1" applyFill="1" applyBorder="1" applyAlignment="1">
      <alignment wrapText="1"/>
    </xf>
    <xf numFmtId="0" fontId="5" fillId="4" borderId="2" xfId="1" applyFont="1" applyFill="1" applyBorder="1" applyAlignment="1">
      <alignment horizontal="right"/>
    </xf>
    <xf numFmtId="3" fontId="5" fillId="4" borderId="2" xfId="1" applyNumberFormat="1" applyFont="1" applyFill="1" applyBorder="1"/>
    <xf numFmtId="3" fontId="5" fillId="4" borderId="3" xfId="1" applyNumberFormat="1" applyFont="1" applyFill="1" applyBorder="1"/>
    <xf numFmtId="3" fontId="5" fillId="4" borderId="16" xfId="1" applyNumberFormat="1" applyFont="1" applyFill="1" applyBorder="1"/>
    <xf numFmtId="0" fontId="5" fillId="4" borderId="16" xfId="1" applyFont="1" applyFill="1" applyBorder="1"/>
    <xf numFmtId="1" fontId="17" fillId="4" borderId="8" xfId="1" applyNumberFormat="1" applyFont="1" applyFill="1" applyBorder="1"/>
    <xf numFmtId="3" fontId="7" fillId="4" borderId="10" xfId="1" applyNumberFormat="1" applyFont="1" applyFill="1" applyBorder="1"/>
    <xf numFmtId="3" fontId="18" fillId="0" borderId="0" xfId="1" applyNumberFormat="1" applyFont="1"/>
    <xf numFmtId="3" fontId="18" fillId="0" borderId="0" xfId="1" applyNumberFormat="1" applyFont="1" applyAlignment="1">
      <alignment vertical="top"/>
    </xf>
    <xf numFmtId="0" fontId="7" fillId="0" borderId="46" xfId="1" applyFont="1" applyBorder="1" applyAlignment="1">
      <alignment horizontal="center"/>
    </xf>
    <xf numFmtId="1" fontId="7" fillId="0" borderId="47" xfId="1" applyNumberFormat="1" applyFont="1" applyBorder="1" applyAlignment="1">
      <alignment horizontal="left"/>
    </xf>
    <xf numFmtId="0" fontId="5" fillId="0" borderId="46" xfId="1" applyFont="1" applyBorder="1"/>
    <xf numFmtId="0" fontId="5" fillId="0" borderId="47" xfId="1" applyFont="1" applyBorder="1"/>
    <xf numFmtId="0" fontId="7" fillId="0" borderId="46" xfId="1" applyFont="1" applyBorder="1"/>
    <xf numFmtId="0" fontId="8" fillId="0" borderId="47" xfId="1" applyFont="1" applyBorder="1" applyAlignment="1">
      <alignment horizontal="center"/>
    </xf>
    <xf numFmtId="3" fontId="7" fillId="0" borderId="47" xfId="1" applyNumberFormat="1" applyFont="1" applyBorder="1"/>
    <xf numFmtId="0" fontId="5" fillId="0" borderId="49" xfId="1" applyFont="1" applyBorder="1"/>
    <xf numFmtId="0" fontId="11" fillId="0" borderId="49" xfId="1" applyFont="1" applyBorder="1" applyAlignment="1">
      <alignment horizontal="right"/>
    </xf>
    <xf numFmtId="3" fontId="5" fillId="0" borderId="47" xfId="1" applyNumberFormat="1" applyFont="1" applyBorder="1"/>
    <xf numFmtId="3" fontId="5" fillId="0" borderId="49" xfId="1" applyNumberFormat="1" applyFont="1" applyBorder="1"/>
    <xf numFmtId="3" fontId="12" fillId="0" borderId="47" xfId="1" applyNumberFormat="1" applyFont="1" applyBorder="1"/>
    <xf numFmtId="3" fontId="6" fillId="0" borderId="49" xfId="1" applyNumberFormat="1" applyFont="1" applyBorder="1" applyAlignment="1">
      <alignment horizontal="center"/>
    </xf>
    <xf numFmtId="171" fontId="11" fillId="2" borderId="51" xfId="1" applyNumberFormat="1" applyFont="1" applyFill="1" applyBorder="1" applyAlignment="1">
      <alignment horizontal="right"/>
    </xf>
    <xf numFmtId="171" fontId="11" fillId="2" borderId="47" xfId="1" applyNumberFormat="1" applyFont="1" applyFill="1" applyBorder="1" applyAlignment="1">
      <alignment horizontal="right"/>
    </xf>
    <xf numFmtId="3" fontId="14" fillId="0" borderId="52" xfId="1" applyNumberFormat="1" applyFont="1" applyBorder="1" applyAlignment="1">
      <alignment horizontal="right"/>
    </xf>
    <xf numFmtId="1" fontId="7" fillId="0" borderId="47" xfId="1" applyNumberFormat="1" applyFont="1" applyBorder="1"/>
    <xf numFmtId="0" fontId="17" fillId="0" borderId="47" xfId="1" applyFont="1" applyBorder="1"/>
    <xf numFmtId="1" fontId="24" fillId="0" borderId="47" xfId="1" applyNumberFormat="1" applyFont="1" applyBorder="1" applyAlignment="1">
      <alignment horizontal="right"/>
    </xf>
    <xf numFmtId="0" fontId="11" fillId="0" borderId="49" xfId="1" applyFont="1" applyBorder="1"/>
    <xf numFmtId="3" fontId="17" fillId="3" borderId="52" xfId="1" applyNumberFormat="1" applyFont="1" applyFill="1" applyBorder="1"/>
    <xf numFmtId="0" fontId="5" fillId="0" borderId="53" xfId="1" applyFont="1" applyBorder="1" applyAlignment="1">
      <alignment horizontal="right" vertical="top"/>
    </xf>
    <xf numFmtId="0" fontId="5" fillId="0" borderId="55" xfId="1" applyFont="1" applyBorder="1" applyAlignment="1">
      <alignment horizontal="right"/>
    </xf>
    <xf numFmtId="0" fontId="5" fillId="0" borderId="56" xfId="1" applyFont="1" applyBorder="1" applyAlignment="1">
      <alignment horizontal="right"/>
    </xf>
    <xf numFmtId="0" fontId="5" fillId="0" borderId="56" xfId="1" applyFont="1" applyBorder="1"/>
    <xf numFmtId="0" fontId="8" fillId="0" borderId="55" xfId="1" applyFont="1" applyBorder="1" applyAlignment="1">
      <alignment horizontal="center" wrapText="1"/>
    </xf>
    <xf numFmtId="0" fontId="5" fillId="0" borderId="60" xfId="1" applyFont="1" applyBorder="1"/>
    <xf numFmtId="0" fontId="5" fillId="0" borderId="61" xfId="1" applyFont="1" applyBorder="1"/>
    <xf numFmtId="0" fontId="6" fillId="0" borderId="61" xfId="1" applyFont="1" applyBorder="1"/>
    <xf numFmtId="0" fontId="5" fillId="0" borderId="61" xfId="1" applyFont="1" applyBorder="1" applyAlignment="1">
      <alignment horizontal="right"/>
    </xf>
    <xf numFmtId="0" fontId="5" fillId="0" borderId="62" xfId="1" applyFont="1" applyBorder="1" applyAlignment="1">
      <alignment horizontal="right"/>
    </xf>
    <xf numFmtId="0" fontId="23" fillId="3" borderId="27" xfId="1" applyFont="1" applyFill="1" applyBorder="1"/>
    <xf numFmtId="0" fontId="23" fillId="3" borderId="33" xfId="1" applyFont="1" applyFill="1" applyBorder="1"/>
    <xf numFmtId="0" fontId="0" fillId="4" borderId="0" xfId="0" applyFill="1"/>
    <xf numFmtId="0" fontId="27" fillId="4" borderId="0" xfId="0" applyFont="1" applyFill="1"/>
    <xf numFmtId="0" fontId="29" fillId="5" borderId="7" xfId="5" applyFont="1" applyFill="1" applyBorder="1" applyAlignment="1">
      <alignment horizontal="center" vertical="center" wrapText="1"/>
    </xf>
    <xf numFmtId="0" fontId="4" fillId="0" borderId="7" xfId="5" applyFont="1" applyBorder="1" applyAlignment="1">
      <alignment wrapText="1"/>
    </xf>
    <xf numFmtId="0" fontId="27" fillId="0" borderId="7" xfId="5" applyFont="1" applyBorder="1" applyAlignment="1">
      <alignment wrapText="1"/>
    </xf>
    <xf numFmtId="169" fontId="27" fillId="0" borderId="7" xfId="5" applyNumberFormat="1" applyFont="1" applyBorder="1" applyAlignment="1">
      <alignment wrapText="1"/>
    </xf>
    <xf numFmtId="3" fontId="31" fillId="0" borderId="63" xfId="8" applyNumberFormat="1" applyFont="1" applyBorder="1" applyAlignment="1">
      <alignment horizontal="right" indent="2"/>
    </xf>
    <xf numFmtId="1" fontId="33" fillId="0" borderId="64" xfId="0" applyNumberFormat="1" applyFont="1" applyBorder="1" applyAlignment="1">
      <alignment horizontal="right"/>
    </xf>
    <xf numFmtId="1" fontId="5" fillId="4" borderId="0" xfId="1" applyNumberFormat="1" applyFont="1" applyFill="1"/>
    <xf numFmtId="0" fontId="5" fillId="4" borderId="66" xfId="1" applyFont="1" applyFill="1" applyBorder="1"/>
    <xf numFmtId="0" fontId="5" fillId="4" borderId="67" xfId="1" applyFont="1" applyFill="1" applyBorder="1"/>
    <xf numFmtId="0" fontId="5" fillId="4" borderId="3" xfId="1" applyFont="1" applyFill="1" applyBorder="1"/>
    <xf numFmtId="0" fontId="5" fillId="4" borderId="29" xfId="1" applyFont="1" applyFill="1" applyBorder="1"/>
    <xf numFmtId="0" fontId="5" fillId="4" borderId="30" xfId="1" applyFont="1" applyFill="1" applyBorder="1"/>
    <xf numFmtId="0" fontId="0" fillId="4" borderId="67" xfId="0" applyFill="1" applyBorder="1"/>
    <xf numFmtId="0" fontId="0" fillId="4" borderId="3" xfId="0" applyFill="1" applyBorder="1"/>
    <xf numFmtId="0" fontId="34" fillId="0" borderId="69" xfId="0" applyFont="1" applyBorder="1" applyAlignment="1">
      <alignment horizontal="left" wrapText="1"/>
    </xf>
    <xf numFmtId="49" fontId="34" fillId="0" borderId="17" xfId="0" applyNumberFormat="1" applyFont="1" applyBorder="1" applyAlignment="1">
      <alignment horizontal="center" vertical="center"/>
    </xf>
    <xf numFmtId="49" fontId="34" fillId="0" borderId="16" xfId="0" applyNumberFormat="1" applyFont="1" applyBorder="1" applyAlignment="1">
      <alignment horizontal="center" vertical="center"/>
    </xf>
    <xf numFmtId="49" fontId="34" fillId="0" borderId="30" xfId="0" quotePrefix="1" applyNumberFormat="1" applyFont="1" applyBorder="1" applyAlignment="1">
      <alignment horizontal="center" vertical="center"/>
    </xf>
    <xf numFmtId="172" fontId="35" fillId="0" borderId="65" xfId="0" applyNumberFormat="1" applyFont="1" applyBorder="1" applyAlignment="1">
      <alignment horizontal="right" shrinkToFit="1"/>
    </xf>
    <xf numFmtId="172" fontId="36" fillId="0" borderId="65" xfId="0" applyNumberFormat="1" applyFont="1" applyBorder="1" applyAlignment="1">
      <alignment horizontal="right" shrinkToFit="1"/>
    </xf>
    <xf numFmtId="0" fontId="0" fillId="4" borderId="30" xfId="0" applyFill="1" applyBorder="1"/>
    <xf numFmtId="0" fontId="7" fillId="4" borderId="66" xfId="1" applyFont="1" applyFill="1" applyBorder="1" applyAlignment="1">
      <alignment horizontal="left"/>
    </xf>
    <xf numFmtId="0" fontId="5" fillId="0" borderId="20" xfId="1" applyFont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4" fontId="19" fillId="4" borderId="68" xfId="1" applyNumberFormat="1" applyFont="1" applyFill="1" applyBorder="1" applyAlignment="1">
      <alignment horizontal="right"/>
    </xf>
    <xf numFmtId="4" fontId="5" fillId="4" borderId="2" xfId="1" applyNumberFormat="1" applyFont="1" applyFill="1" applyBorder="1"/>
    <xf numFmtId="4" fontId="21" fillId="4" borderId="16" xfId="1" applyNumberFormat="1" applyFont="1" applyFill="1" applyBorder="1"/>
    <xf numFmtId="4" fontId="21" fillId="4" borderId="68" xfId="1" applyNumberFormat="1" applyFont="1" applyFill="1" applyBorder="1"/>
    <xf numFmtId="4" fontId="21" fillId="4" borderId="2" xfId="1" applyNumberFormat="1" applyFont="1" applyFill="1" applyBorder="1"/>
    <xf numFmtId="4" fontId="5" fillId="4" borderId="16" xfId="1" applyNumberFormat="1" applyFont="1" applyFill="1" applyBorder="1"/>
    <xf numFmtId="4" fontId="5" fillId="4" borderId="0" xfId="1" applyNumberFormat="1" applyFont="1" applyFill="1"/>
    <xf numFmtId="4" fontId="5" fillId="4" borderId="68" xfId="1" applyNumberFormat="1" applyFont="1" applyFill="1" applyBorder="1"/>
    <xf numFmtId="168" fontId="5" fillId="4" borderId="68" xfId="2" applyNumberFormat="1" applyFont="1" applyFill="1" applyBorder="1"/>
    <xf numFmtId="168" fontId="5" fillId="4" borderId="2" xfId="2" applyNumberFormat="1" applyFont="1" applyFill="1" applyBorder="1"/>
    <xf numFmtId="4" fontId="7" fillId="4" borderId="0" xfId="1" applyNumberFormat="1" applyFont="1" applyFill="1" applyAlignment="1">
      <alignment horizontal="center"/>
    </xf>
    <xf numFmtId="4" fontId="20" fillId="4" borderId="2" xfId="1" applyNumberFormat="1" applyFont="1" applyFill="1" applyBorder="1" applyAlignment="1">
      <alignment vertical="top"/>
    </xf>
    <xf numFmtId="0" fontId="5" fillId="4" borderId="0" xfId="1" applyFont="1" applyFill="1" applyAlignment="1">
      <alignment vertical="top"/>
    </xf>
    <xf numFmtId="0" fontId="25" fillId="0" borderId="0" xfId="1" applyFont="1" applyAlignment="1">
      <alignment vertical="top" wrapText="1"/>
    </xf>
    <xf numFmtId="0" fontId="25" fillId="0" borderId="47" xfId="1" applyFont="1" applyBorder="1" applyAlignment="1">
      <alignment vertical="top" wrapText="1"/>
    </xf>
    <xf numFmtId="4" fontId="37" fillId="4" borderId="2" xfId="1" applyNumberFormat="1" applyFont="1" applyFill="1" applyBorder="1" applyAlignment="1">
      <alignment vertical="top"/>
    </xf>
    <xf numFmtId="0" fontId="8" fillId="0" borderId="73" xfId="1" applyFont="1" applyBorder="1" applyAlignment="1">
      <alignment horizontal="center" wrapText="1"/>
    </xf>
    <xf numFmtId="1" fontId="5" fillId="0" borderId="74" xfId="1" applyNumberFormat="1" applyFont="1" applyBorder="1" applyAlignment="1">
      <alignment horizontal="center" vertical="center"/>
    </xf>
    <xf numFmtId="3" fontId="5" fillId="0" borderId="76" xfId="1" applyNumberFormat="1" applyFont="1" applyBorder="1" applyAlignment="1">
      <alignment horizontal="center" vertical="center"/>
    </xf>
    <xf numFmtId="3" fontId="5" fillId="0" borderId="74" xfId="1" applyNumberFormat="1" applyFont="1" applyBorder="1" applyAlignment="1">
      <alignment horizontal="center"/>
    </xf>
    <xf numFmtId="3" fontId="5" fillId="0" borderId="79" xfId="1" applyNumberFormat="1" applyFont="1" applyBorder="1" applyAlignment="1">
      <alignment horizontal="center"/>
    </xf>
    <xf numFmtId="1" fontId="5" fillId="0" borderId="84" xfId="1" applyNumberFormat="1" applyFont="1" applyBorder="1" applyAlignment="1">
      <alignment horizontal="center"/>
    </xf>
    <xf numFmtId="4" fontId="38" fillId="4" borderId="68" xfId="1" applyNumberFormat="1" applyFont="1" applyFill="1" applyBorder="1" applyAlignment="1">
      <alignment horizontal="right"/>
    </xf>
    <xf numFmtId="0" fontId="5" fillId="4" borderId="0" xfId="1" applyFont="1" applyFill="1" applyBorder="1" applyAlignment="1">
      <alignment horizontal="right"/>
    </xf>
    <xf numFmtId="0" fontId="5" fillId="4" borderId="0" xfId="1" applyFont="1" applyFill="1" applyBorder="1"/>
    <xf numFmtId="3" fontId="17" fillId="3" borderId="51" xfId="1" applyNumberFormat="1" applyFont="1" applyFill="1" applyBorder="1"/>
    <xf numFmtId="3" fontId="17" fillId="3" borderId="47" xfId="1" applyNumberFormat="1" applyFont="1" applyFill="1" applyBorder="1"/>
    <xf numFmtId="0" fontId="5" fillId="4" borderId="8" xfId="1" applyFont="1" applyFill="1" applyBorder="1" applyAlignment="1">
      <alignment horizontal="right" wrapText="1"/>
    </xf>
    <xf numFmtId="0" fontId="5" fillId="4" borderId="9" xfId="1" applyFont="1" applyFill="1" applyBorder="1" applyAlignment="1">
      <alignment horizontal="right" wrapText="1"/>
    </xf>
    <xf numFmtId="169" fontId="5" fillId="4" borderId="0" xfId="1" applyNumberFormat="1" applyFont="1" applyFill="1" applyAlignment="1">
      <alignment horizontal="center"/>
    </xf>
    <xf numFmtId="0" fontId="5" fillId="4" borderId="0" xfId="1" applyFont="1" applyFill="1" applyAlignment="1">
      <alignment horizontal="center"/>
    </xf>
    <xf numFmtId="4" fontId="5" fillId="4" borderId="2" xfId="1" applyNumberFormat="1" applyFont="1" applyFill="1" applyBorder="1" applyAlignment="1">
      <alignment horizontal="center"/>
    </xf>
    <xf numFmtId="0" fontId="5" fillId="4" borderId="0" xfId="1" applyFont="1" applyFill="1" applyAlignment="1">
      <alignment horizontal="left"/>
    </xf>
    <xf numFmtId="0" fontId="29" fillId="5" borderId="19" xfId="5" applyFont="1" applyFill="1" applyBorder="1" applyAlignment="1">
      <alignment horizontal="center" vertical="center" wrapText="1"/>
    </xf>
    <xf numFmtId="0" fontId="29" fillId="5" borderId="6" xfId="5" applyFont="1" applyFill="1" applyBorder="1" applyAlignment="1">
      <alignment horizontal="center" vertical="center" wrapText="1"/>
    </xf>
    <xf numFmtId="0" fontId="29" fillId="5" borderId="7" xfId="5" applyFont="1" applyFill="1" applyBorder="1" applyAlignment="1">
      <alignment horizontal="center"/>
    </xf>
    <xf numFmtId="0" fontId="28" fillId="0" borderId="29" xfId="5" applyFont="1" applyBorder="1" applyAlignment="1">
      <alignment horizontal="center" vertical="center" wrapText="1"/>
    </xf>
    <xf numFmtId="3" fontId="5" fillId="0" borderId="31" xfId="1" applyNumberFormat="1" applyFont="1" applyBorder="1" applyAlignment="1">
      <alignment horizontal="center"/>
    </xf>
    <xf numFmtId="3" fontId="5" fillId="0" borderId="57" xfId="1" applyNumberFormat="1" applyFont="1" applyBorder="1" applyAlignment="1">
      <alignment horizontal="center"/>
    </xf>
    <xf numFmtId="3" fontId="5" fillId="0" borderId="25" xfId="1" applyNumberFormat="1" applyFont="1" applyBorder="1" applyAlignment="1">
      <alignment horizontal="center"/>
    </xf>
    <xf numFmtId="3" fontId="5" fillId="0" borderId="47" xfId="1" applyNumberFormat="1" applyFont="1" applyBorder="1" applyAlignment="1">
      <alignment horizontal="center"/>
    </xf>
    <xf numFmtId="3" fontId="5" fillId="0" borderId="37" xfId="1" applyNumberFormat="1" applyFont="1" applyBorder="1" applyAlignment="1">
      <alignment horizontal="center" vertical="center"/>
    </xf>
    <xf numFmtId="3" fontId="5" fillId="0" borderId="54" xfId="1" applyNumberFormat="1" applyFont="1" applyBorder="1" applyAlignment="1">
      <alignment horizontal="center" vertical="center"/>
    </xf>
    <xf numFmtId="0" fontId="5" fillId="0" borderId="25" xfId="1" applyFont="1" applyBorder="1" applyAlignment="1">
      <alignment horizontal="center"/>
    </xf>
    <xf numFmtId="0" fontId="5" fillId="0" borderId="47" xfId="1" applyFont="1" applyBorder="1" applyAlignment="1">
      <alignment horizontal="center"/>
    </xf>
    <xf numFmtId="3" fontId="5" fillId="0" borderId="35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3" fontId="5" fillId="0" borderId="36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22" xfId="1" applyNumberFormat="1" applyFont="1" applyBorder="1" applyAlignment="1">
      <alignment horizontal="center"/>
    </xf>
    <xf numFmtId="3" fontId="5" fillId="0" borderId="20" xfId="1" applyNumberFormat="1" applyFont="1" applyBorder="1" applyAlignment="1">
      <alignment horizontal="center"/>
    </xf>
    <xf numFmtId="3" fontId="5" fillId="0" borderId="23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3" fontId="5" fillId="0" borderId="25" xfId="1" applyNumberFormat="1" applyFont="1" applyBorder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3" fontId="5" fillId="0" borderId="26" xfId="1" applyNumberFormat="1" applyFont="1" applyBorder="1" applyAlignment="1">
      <alignment horizontal="center" vertical="top" wrapText="1"/>
    </xf>
    <xf numFmtId="0" fontId="8" fillId="0" borderId="58" xfId="1" applyFont="1" applyBorder="1" applyAlignment="1">
      <alignment horizontal="center" vertical="center" wrapText="1"/>
    </xf>
    <xf numFmtId="0" fontId="8" fillId="0" borderId="59" xfId="1" applyFont="1" applyBorder="1" applyAlignment="1">
      <alignment horizontal="center" vertical="center" wrapText="1"/>
    </xf>
    <xf numFmtId="1" fontId="5" fillId="0" borderId="11" xfId="1" applyNumberFormat="1" applyFont="1" applyBorder="1" applyAlignment="1">
      <alignment horizontal="center" vertical="center"/>
    </xf>
    <xf numFmtId="1" fontId="5" fillId="0" borderId="40" xfId="1" applyNumberFormat="1" applyFont="1" applyBorder="1" applyAlignment="1">
      <alignment horizontal="center" vertical="center"/>
    </xf>
    <xf numFmtId="1" fontId="5" fillId="0" borderId="34" xfId="1" applyNumberFormat="1" applyFont="1" applyBorder="1" applyAlignment="1">
      <alignment horizontal="center" vertical="center"/>
    </xf>
    <xf numFmtId="3" fontId="18" fillId="0" borderId="0" xfId="1" applyNumberFormat="1" applyFont="1" applyAlignment="1">
      <alignment horizontal="right" vertical="top"/>
    </xf>
    <xf numFmtId="0" fontId="7" fillId="2" borderId="19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3" fontId="5" fillId="0" borderId="37" xfId="1" applyNumberFormat="1" applyFont="1" applyBorder="1" applyAlignment="1">
      <alignment horizontal="center" wrapText="1"/>
    </xf>
    <xf numFmtId="3" fontId="5" fillId="0" borderId="39" xfId="1" applyNumberFormat="1" applyFont="1" applyBorder="1" applyAlignment="1">
      <alignment horizontal="center" wrapText="1"/>
    </xf>
    <xf numFmtId="3" fontId="5" fillId="0" borderId="38" xfId="1" applyNumberFormat="1" applyFont="1" applyBorder="1" applyAlignment="1">
      <alignment horizontal="center" wrapText="1"/>
    </xf>
    <xf numFmtId="0" fontId="5" fillId="0" borderId="20" xfId="1" applyFont="1" applyBorder="1" applyAlignment="1">
      <alignment horizontal="center" vertical="top" wrapText="1"/>
    </xf>
    <xf numFmtId="3" fontId="5" fillId="0" borderId="0" xfId="1" applyNumberFormat="1" applyFont="1" applyBorder="1" applyAlignment="1">
      <alignment horizontal="center"/>
    </xf>
    <xf numFmtId="3" fontId="5" fillId="0" borderId="26" xfId="1" applyNumberFormat="1" applyFont="1" applyBorder="1" applyAlignment="1">
      <alignment horizontal="center"/>
    </xf>
    <xf numFmtId="3" fontId="5" fillId="0" borderId="75" xfId="1" applyNumberFormat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3" fontId="5" fillId="0" borderId="74" xfId="1" applyNumberFormat="1" applyFont="1" applyBorder="1" applyAlignment="1">
      <alignment horizontal="center" vertical="center" wrapText="1"/>
    </xf>
    <xf numFmtId="3" fontId="5" fillId="0" borderId="75" xfId="1" applyNumberFormat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74" xfId="1" applyNumberFormat="1" applyFont="1" applyBorder="1" applyAlignment="1">
      <alignment horizontal="center" vertical="center"/>
    </xf>
    <xf numFmtId="1" fontId="5" fillId="0" borderId="25" xfId="1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/>
    </xf>
    <xf numFmtId="1" fontId="5" fillId="0" borderId="26" xfId="1" applyNumberFormat="1" applyFont="1" applyBorder="1" applyAlignment="1">
      <alignment horizontal="center"/>
    </xf>
    <xf numFmtId="3" fontId="5" fillId="0" borderId="37" xfId="1" applyNumberFormat="1" applyFont="1" applyBorder="1" applyAlignment="1">
      <alignment horizontal="center"/>
    </xf>
    <xf numFmtId="3" fontId="5" fillId="0" borderId="54" xfId="1" applyNumberFormat="1" applyFont="1" applyBorder="1" applyAlignment="1">
      <alignment horizontal="center"/>
    </xf>
    <xf numFmtId="0" fontId="25" fillId="0" borderId="0" xfId="1" applyFont="1" applyAlignment="1">
      <alignment horizontal="center" vertical="top" wrapText="1"/>
    </xf>
    <xf numFmtId="0" fontId="25" fillId="0" borderId="47" xfId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9" fontId="17" fillId="3" borderId="47" xfId="1" applyNumberFormat="1" applyFont="1" applyFill="1" applyBorder="1" applyAlignment="1">
      <alignment horizontal="right" vertical="top"/>
    </xf>
    <xf numFmtId="0" fontId="7" fillId="2" borderId="7" xfId="1" applyFont="1" applyFill="1" applyBorder="1" applyAlignment="1">
      <alignment horizontal="center" vertical="center" wrapText="1"/>
    </xf>
    <xf numFmtId="0" fontId="5" fillId="0" borderId="28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26" fillId="0" borderId="0" xfId="1" applyFont="1" applyAlignment="1">
      <alignment horizontal="right" vertical="top" wrapText="1"/>
    </xf>
    <xf numFmtId="0" fontId="13" fillId="0" borderId="33" xfId="1" applyFont="1" applyBorder="1" applyAlignment="1">
      <alignment horizontal="right" indent="1"/>
    </xf>
    <xf numFmtId="0" fontId="13" fillId="0" borderId="1" xfId="1" applyFont="1" applyBorder="1" applyAlignment="1">
      <alignment horizontal="right" indent="1"/>
    </xf>
    <xf numFmtId="0" fontId="22" fillId="3" borderId="11" xfId="1" applyFont="1" applyFill="1" applyBorder="1" applyAlignment="1">
      <alignment horizontal="center"/>
    </xf>
    <xf numFmtId="0" fontId="22" fillId="3" borderId="40" xfId="1" applyFont="1" applyFill="1" applyBorder="1" applyAlignment="1">
      <alignment horizontal="center"/>
    </xf>
    <xf numFmtId="0" fontId="22" fillId="3" borderId="50" xfId="1" applyFont="1" applyFill="1" applyBorder="1" applyAlignment="1">
      <alignment horizontal="center"/>
    </xf>
    <xf numFmtId="1" fontId="26" fillId="0" borderId="47" xfId="1" applyNumberFormat="1" applyFont="1" applyBorder="1" applyAlignment="1">
      <alignment horizontal="right" vertical="top" wrapText="1"/>
    </xf>
    <xf numFmtId="0" fontId="5" fillId="4" borderId="3" xfId="1" applyFont="1" applyFill="1" applyBorder="1" applyAlignment="1">
      <alignment horizontal="center"/>
    </xf>
    <xf numFmtId="4" fontId="7" fillId="4" borderId="46" xfId="1" applyNumberFormat="1" applyFont="1" applyFill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7" fillId="0" borderId="44" xfId="1" applyFont="1" applyBorder="1" applyAlignment="1">
      <alignment horizontal="center"/>
    </xf>
    <xf numFmtId="0" fontId="7" fillId="0" borderId="45" xfId="1" applyFont="1" applyBorder="1" applyAlignment="1">
      <alignment horizontal="center"/>
    </xf>
    <xf numFmtId="0" fontId="9" fillId="0" borderId="32" xfId="1" applyFont="1" applyBorder="1" applyAlignment="1">
      <alignment horizontal="left" vertical="top" wrapText="1"/>
    </xf>
    <xf numFmtId="0" fontId="22" fillId="0" borderId="11" xfId="1" applyFont="1" applyBorder="1" applyAlignment="1">
      <alignment horizontal="center"/>
    </xf>
    <xf numFmtId="0" fontId="22" fillId="0" borderId="40" xfId="1" applyFont="1" applyBorder="1" applyAlignment="1">
      <alignment horizontal="center"/>
    </xf>
    <xf numFmtId="0" fontId="22" fillId="0" borderId="50" xfId="1" applyFont="1" applyBorder="1" applyAlignment="1">
      <alignment horizontal="center"/>
    </xf>
    <xf numFmtId="0" fontId="8" fillId="0" borderId="42" xfId="1" applyFont="1" applyBorder="1" applyAlignment="1">
      <alignment horizontal="center" vertical="center" wrapText="1"/>
    </xf>
    <xf numFmtId="0" fontId="8" fillId="0" borderId="48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top" wrapText="1"/>
    </xf>
    <xf numFmtId="0" fontId="5" fillId="0" borderId="54" xfId="1" applyFont="1" applyBorder="1" applyAlignment="1">
      <alignment horizontal="center" vertical="top" wrapText="1"/>
    </xf>
    <xf numFmtId="3" fontId="5" fillId="0" borderId="70" xfId="1" applyNumberFormat="1" applyFont="1" applyBorder="1" applyAlignment="1">
      <alignment horizontal="center"/>
    </xf>
    <xf numFmtId="3" fontId="5" fillId="0" borderId="71" xfId="1" applyNumberFormat="1" applyFont="1" applyBorder="1" applyAlignment="1">
      <alignment horizontal="center"/>
    </xf>
    <xf numFmtId="3" fontId="5" fillId="0" borderId="72" xfId="1" applyNumberFormat="1" applyFont="1" applyBorder="1" applyAlignment="1">
      <alignment horizontal="center"/>
    </xf>
    <xf numFmtId="3" fontId="5" fillId="0" borderId="70" xfId="1" applyNumberFormat="1" applyFont="1" applyBorder="1" applyAlignment="1">
      <alignment horizontal="center" wrapText="1"/>
    </xf>
    <xf numFmtId="3" fontId="5" fillId="0" borderId="71" xfId="1" applyNumberFormat="1" applyFont="1" applyBorder="1" applyAlignment="1">
      <alignment horizontal="center" wrapText="1"/>
    </xf>
    <xf numFmtId="3" fontId="5" fillId="0" borderId="72" xfId="1" applyNumberFormat="1" applyFont="1" applyBorder="1" applyAlignment="1">
      <alignment horizontal="center" wrapText="1"/>
    </xf>
    <xf numFmtId="3" fontId="5" fillId="0" borderId="77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/>
    </xf>
    <xf numFmtId="1" fontId="5" fillId="0" borderId="85" xfId="1" applyNumberFormat="1" applyFont="1" applyBorder="1" applyAlignment="1">
      <alignment horizontal="center"/>
    </xf>
    <xf numFmtId="1" fontId="5" fillId="0" borderId="29" xfId="1" applyNumberFormat="1" applyFont="1" applyBorder="1" applyAlignment="1">
      <alignment horizontal="center"/>
    </xf>
    <xf numFmtId="1" fontId="5" fillId="0" borderId="86" xfId="1" applyNumberFormat="1" applyFont="1" applyBorder="1" applyAlignment="1">
      <alignment horizontal="center"/>
    </xf>
    <xf numFmtId="3" fontId="5" fillId="0" borderId="85" xfId="1" applyNumberFormat="1" applyFont="1" applyBorder="1" applyAlignment="1">
      <alignment horizontal="center" vertical="top" wrapText="1"/>
    </xf>
    <xf numFmtId="3" fontId="5" fillId="0" borderId="29" xfId="1" applyNumberFormat="1" applyFont="1" applyBorder="1" applyAlignment="1">
      <alignment horizontal="center" vertical="top" wrapText="1"/>
    </xf>
    <xf numFmtId="3" fontId="5" fillId="0" borderId="86" xfId="1" applyNumberFormat="1" applyFont="1" applyBorder="1" applyAlignment="1">
      <alignment horizontal="center" vertical="top" wrapText="1"/>
    </xf>
    <xf numFmtId="3" fontId="5" fillId="0" borderId="80" xfId="1" applyNumberFormat="1" applyFont="1" applyBorder="1" applyAlignment="1">
      <alignment horizontal="center"/>
    </xf>
    <xf numFmtId="3" fontId="5" fillId="0" borderId="81" xfId="1" applyNumberFormat="1" applyFont="1" applyBorder="1" applyAlignment="1">
      <alignment horizontal="center"/>
    </xf>
    <xf numFmtId="3" fontId="5" fillId="0" borderId="82" xfId="1" applyNumberFormat="1" applyFont="1" applyBorder="1" applyAlignment="1">
      <alignment horizontal="center"/>
    </xf>
    <xf numFmtId="3" fontId="5" fillId="0" borderId="83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3" fontId="5" fillId="0" borderId="25" xfId="1" applyNumberFormat="1" applyFont="1" applyBorder="1" applyAlignment="1">
      <alignment horizontal="center" wrapText="1"/>
    </xf>
    <xf numFmtId="3" fontId="5" fillId="0" borderId="0" xfId="1" applyNumberFormat="1" applyFont="1" applyBorder="1" applyAlignment="1">
      <alignment horizontal="center" wrapText="1"/>
    </xf>
    <xf numFmtId="3" fontId="5" fillId="0" borderId="26" xfId="1" applyNumberFormat="1" applyFont="1" applyBorder="1" applyAlignment="1">
      <alignment horizontal="center" wrapText="1"/>
    </xf>
    <xf numFmtId="3" fontId="5" fillId="0" borderId="35" xfId="1" applyNumberFormat="1" applyFont="1" applyBorder="1" applyAlignment="1">
      <alignment horizontal="center" vertical="top" wrapText="1"/>
    </xf>
    <xf numFmtId="3" fontId="5" fillId="0" borderId="36" xfId="1" applyNumberFormat="1" applyFont="1" applyBorder="1" applyAlignment="1">
      <alignment horizontal="center" vertical="top" wrapText="1"/>
    </xf>
    <xf numFmtId="3" fontId="5" fillId="0" borderId="75" xfId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3" fontId="5" fillId="0" borderId="74" xfId="1" applyNumberFormat="1" applyFont="1" applyBorder="1" applyAlignment="1">
      <alignment horizontal="center"/>
    </xf>
    <xf numFmtId="3" fontId="5" fillId="0" borderId="77" xfId="1" applyNumberFormat="1" applyFont="1" applyBorder="1" applyAlignment="1">
      <alignment horizontal="center" wrapText="1"/>
    </xf>
    <xf numFmtId="3" fontId="5" fillId="0" borderId="9" xfId="1" applyNumberFormat="1" applyFont="1" applyBorder="1" applyAlignment="1">
      <alignment horizontal="center" wrapText="1"/>
    </xf>
    <xf numFmtId="3" fontId="5" fillId="0" borderId="78" xfId="1" applyNumberFormat="1" applyFont="1" applyBorder="1" applyAlignment="1">
      <alignment horizontal="center" wrapText="1"/>
    </xf>
  </cellXfs>
  <cellStyles count="14">
    <cellStyle name="Comma" xfId="12"/>
    <cellStyle name="Comma [0]" xfId="13"/>
    <cellStyle name="Currency" xfId="10"/>
    <cellStyle name="Currency [0]" xfId="11"/>
    <cellStyle name="Normal" xfId="7"/>
    <cellStyle name="Percent" xfId="9"/>
    <cellStyle name="Обычный" xfId="0" builtinId="0"/>
    <cellStyle name="Обычный 2" xfId="6"/>
    <cellStyle name="Обычный 3" xfId="5"/>
    <cellStyle name="Обычный 4" xfId="8"/>
    <cellStyle name="Обычный_Консолидир. бюджет-2001" xfId="1"/>
    <cellStyle name="Процентный" xfId="2" builtinId="5"/>
    <cellStyle name="Тысячи [0]_TRABMAT" xfId="3"/>
    <cellStyle name="Тысячи_TRABMA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32</xdr:row>
      <xdr:rowOff>114300</xdr:rowOff>
    </xdr:from>
    <xdr:to>
      <xdr:col>6</xdr:col>
      <xdr:colOff>76200</xdr:colOff>
      <xdr:row>33</xdr:row>
      <xdr:rowOff>0</xdr:rowOff>
    </xdr:to>
    <xdr:sp macro="" textlink="">
      <xdr:nvSpPr>
        <xdr:cNvPr id="6155" name="Text Box 1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0" y="471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6156" name="Line 2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ShapeType="1"/>
        </xdr:cNvSpPr>
      </xdr:nvSpPr>
      <xdr:spPr bwMode="auto">
        <a:xfrm>
          <a:off x="3743325" y="2533650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6157" name="Line 3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>
          <a:spLocks noChangeShapeType="1"/>
        </xdr:cNvSpPr>
      </xdr:nvSpPr>
      <xdr:spPr bwMode="auto">
        <a:xfrm>
          <a:off x="3752850" y="31908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6158" name="Line 4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ShapeType="1"/>
        </xdr:cNvSpPr>
      </xdr:nvSpPr>
      <xdr:spPr bwMode="auto">
        <a:xfrm>
          <a:off x="3752850" y="3657600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6159" name="Line 5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ShapeType="1"/>
        </xdr:cNvSpPr>
      </xdr:nvSpPr>
      <xdr:spPr bwMode="auto">
        <a:xfrm>
          <a:off x="3752850" y="39528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6161" name="Line 7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ShapeType="1"/>
        </xdr:cNvSpPr>
      </xdr:nvSpPr>
      <xdr:spPr bwMode="auto">
        <a:xfrm>
          <a:off x="3743325" y="4705350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6162" name="Line 8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ShapeType="1"/>
        </xdr:cNvSpPr>
      </xdr:nvSpPr>
      <xdr:spPr bwMode="auto">
        <a:xfrm>
          <a:off x="3733800" y="14382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6163" name="Line 9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ShapeType="1"/>
        </xdr:cNvSpPr>
      </xdr:nvSpPr>
      <xdr:spPr bwMode="auto">
        <a:xfrm>
          <a:off x="3752850" y="34194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6164" name="Line 10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>
          <a:spLocks noChangeShapeType="1"/>
        </xdr:cNvSpPr>
      </xdr:nvSpPr>
      <xdr:spPr bwMode="auto">
        <a:xfrm>
          <a:off x="3733800" y="17811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0</xdr:colOff>
      <xdr:row>32</xdr:row>
      <xdr:rowOff>123825</xdr:rowOff>
    </xdr:from>
    <xdr:to>
      <xdr:col>6</xdr:col>
      <xdr:colOff>76200</xdr:colOff>
      <xdr:row>33</xdr:row>
      <xdr:rowOff>9525</xdr:rowOff>
    </xdr:to>
    <xdr:sp macro="" textlink="">
      <xdr:nvSpPr>
        <xdr:cNvPr id="6165" name="Text Box 22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0" y="472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6166" name="Line 23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ShapeType="1"/>
        </xdr:cNvSpPr>
      </xdr:nvSpPr>
      <xdr:spPr bwMode="auto">
        <a:xfrm>
          <a:off x="3743325" y="2533650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6167" name="Line 24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ShapeType="1"/>
        </xdr:cNvSpPr>
      </xdr:nvSpPr>
      <xdr:spPr bwMode="auto">
        <a:xfrm>
          <a:off x="3752850" y="31908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6168" name="Line 25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ShapeType="1"/>
        </xdr:cNvSpPr>
      </xdr:nvSpPr>
      <xdr:spPr bwMode="auto">
        <a:xfrm>
          <a:off x="3752850" y="3657600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6169" name="Line 26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ShapeType="1"/>
        </xdr:cNvSpPr>
      </xdr:nvSpPr>
      <xdr:spPr bwMode="auto">
        <a:xfrm>
          <a:off x="3752850" y="39528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6171" name="Line 28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>
          <a:spLocks noChangeShapeType="1"/>
        </xdr:cNvSpPr>
      </xdr:nvSpPr>
      <xdr:spPr bwMode="auto">
        <a:xfrm>
          <a:off x="3743325" y="4705350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6172" name="Line 29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>
          <a:spLocks noChangeShapeType="1"/>
        </xdr:cNvSpPr>
      </xdr:nvSpPr>
      <xdr:spPr bwMode="auto">
        <a:xfrm>
          <a:off x="3733800" y="14382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6173" name="Line 30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>
          <a:spLocks noChangeShapeType="1"/>
        </xdr:cNvSpPr>
      </xdr:nvSpPr>
      <xdr:spPr bwMode="auto">
        <a:xfrm>
          <a:off x="3752850" y="34194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6174" name="Line 31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>
          <a:spLocks noChangeShapeType="1"/>
        </xdr:cNvSpPr>
      </xdr:nvSpPr>
      <xdr:spPr bwMode="auto">
        <a:xfrm>
          <a:off x="3733800" y="17811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0</xdr:colOff>
      <xdr:row>32</xdr:row>
      <xdr:rowOff>104775</xdr:rowOff>
    </xdr:from>
    <xdr:to>
      <xdr:col>6</xdr:col>
      <xdr:colOff>76200</xdr:colOff>
      <xdr:row>32</xdr:row>
      <xdr:rowOff>304800</xdr:rowOff>
    </xdr:to>
    <xdr:sp macro="" textlink="">
      <xdr:nvSpPr>
        <xdr:cNvPr id="6175" name="Text Box 32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 bwMode="auto">
        <a:xfrm>
          <a:off x="0" y="470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6176" name="Line 33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>
          <a:spLocks noChangeShapeType="1"/>
        </xdr:cNvSpPr>
      </xdr:nvSpPr>
      <xdr:spPr bwMode="auto">
        <a:xfrm>
          <a:off x="3743325" y="2533650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6177" name="Line 34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>
          <a:spLocks noChangeShapeType="1"/>
        </xdr:cNvSpPr>
      </xdr:nvSpPr>
      <xdr:spPr bwMode="auto">
        <a:xfrm>
          <a:off x="3752850" y="31908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6178" name="Line 35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>
          <a:spLocks noChangeShapeType="1"/>
        </xdr:cNvSpPr>
      </xdr:nvSpPr>
      <xdr:spPr bwMode="auto">
        <a:xfrm>
          <a:off x="3752850" y="3657600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6179" name="Line 36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>
          <a:spLocks noChangeShapeType="1"/>
        </xdr:cNvSpPr>
      </xdr:nvSpPr>
      <xdr:spPr bwMode="auto">
        <a:xfrm>
          <a:off x="3752850" y="39528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29</xdr:row>
      <xdr:rowOff>9525</xdr:rowOff>
    </xdr:from>
    <xdr:to>
      <xdr:col>10</xdr:col>
      <xdr:colOff>295275</xdr:colOff>
      <xdr:row>29</xdr:row>
      <xdr:rowOff>9525</xdr:rowOff>
    </xdr:to>
    <xdr:sp macro="" textlink="">
      <xdr:nvSpPr>
        <xdr:cNvPr id="6180" name="Line 37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>
          <a:spLocks noChangeShapeType="1"/>
        </xdr:cNvSpPr>
      </xdr:nvSpPr>
      <xdr:spPr bwMode="auto">
        <a:xfrm>
          <a:off x="3762375" y="43338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6181" name="Line 38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ShapeType="1"/>
        </xdr:cNvSpPr>
      </xdr:nvSpPr>
      <xdr:spPr bwMode="auto">
        <a:xfrm>
          <a:off x="3743325" y="4705350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6182" name="Line 39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>
          <a:spLocks noChangeShapeType="1"/>
        </xdr:cNvSpPr>
      </xdr:nvSpPr>
      <xdr:spPr bwMode="auto">
        <a:xfrm>
          <a:off x="3733800" y="14382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6183" name="Line 40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>
          <a:spLocks noChangeShapeType="1"/>
        </xdr:cNvSpPr>
      </xdr:nvSpPr>
      <xdr:spPr bwMode="auto">
        <a:xfrm>
          <a:off x="3752850" y="34194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6184" name="Line 41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>
          <a:spLocks noChangeShapeType="1"/>
        </xdr:cNvSpPr>
      </xdr:nvSpPr>
      <xdr:spPr bwMode="auto">
        <a:xfrm>
          <a:off x="3733800" y="1781175"/>
          <a:ext cx="9620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32</xdr:row>
      <xdr:rowOff>114300</xdr:rowOff>
    </xdr:from>
    <xdr:to>
      <xdr:col>6</xdr:col>
      <xdr:colOff>76200</xdr:colOff>
      <xdr:row>33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5BB7044-A4B3-4ED2-BD5F-59B549FED2F9}"/>
            </a:ext>
          </a:extLst>
        </xdr:cNvPr>
        <xdr:cNvSpPr txBox="1">
          <a:spLocks noChangeArrowheads="1"/>
        </xdr:cNvSpPr>
      </xdr:nvSpPr>
      <xdr:spPr bwMode="auto">
        <a:xfrm>
          <a:off x="3143250" y="4791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0AE2E08-4BF5-4F13-A44F-37FF86274E39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E3D6854-E5B5-4463-971B-946651076740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ADB8985-F3C3-46E7-B034-71A1FC205AEB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A3E06700-AAD1-4CA7-A81F-A3C11503252C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67766642-8C8F-47D9-A8FF-86947D34CBA2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F5598BB-F38A-41F0-BAAC-66A7F9E5CB7E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3B43916-3886-48EC-96D4-F9245D8C5F8F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65B5F806-6788-4E45-8DBA-C171E853EB42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0</xdr:colOff>
      <xdr:row>32</xdr:row>
      <xdr:rowOff>123825</xdr:rowOff>
    </xdr:from>
    <xdr:to>
      <xdr:col>6</xdr:col>
      <xdr:colOff>76200</xdr:colOff>
      <xdr:row>33</xdr:row>
      <xdr:rowOff>9525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CAB91BF8-1E68-4845-AEB9-D1CEEAEE2E31}"/>
            </a:ext>
          </a:extLst>
        </xdr:cNvPr>
        <xdr:cNvSpPr txBox="1">
          <a:spLocks noChangeArrowheads="1"/>
        </xdr:cNvSpPr>
      </xdr:nvSpPr>
      <xdr:spPr bwMode="auto">
        <a:xfrm>
          <a:off x="3143250" y="4800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12" name="Line 23">
          <a:extLst>
            <a:ext uri="{FF2B5EF4-FFF2-40B4-BE49-F238E27FC236}">
              <a16:creationId xmlns:a16="http://schemas.microsoft.com/office/drawing/2014/main" id="{2103FE02-053C-4942-BEE7-032CC91015E4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49ED1936-3C05-44C9-A818-CE7BF4332406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14" name="Line 25">
          <a:extLst>
            <a:ext uri="{FF2B5EF4-FFF2-40B4-BE49-F238E27FC236}">
              <a16:creationId xmlns:a16="http://schemas.microsoft.com/office/drawing/2014/main" id="{0015A904-3964-412E-86F1-F3A1FEAF816D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15" name="Line 26">
          <a:extLst>
            <a:ext uri="{FF2B5EF4-FFF2-40B4-BE49-F238E27FC236}">
              <a16:creationId xmlns:a16="http://schemas.microsoft.com/office/drawing/2014/main" id="{F347D3BD-B4E6-416B-AEBB-A08527D9F7F2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8650F60A-F1D0-40A1-A7EF-C7B3C2EE5E50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97FC078B-3347-4918-8A22-2F8437335894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9E93A4B7-CCCA-4395-8C12-DF123E096F1B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19" name="Line 31">
          <a:extLst>
            <a:ext uri="{FF2B5EF4-FFF2-40B4-BE49-F238E27FC236}">
              <a16:creationId xmlns:a16="http://schemas.microsoft.com/office/drawing/2014/main" id="{ACE55EBA-C370-45D3-BEFE-D6AED4B8C06A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0</xdr:colOff>
      <xdr:row>32</xdr:row>
      <xdr:rowOff>104775</xdr:rowOff>
    </xdr:from>
    <xdr:to>
      <xdr:col>6</xdr:col>
      <xdr:colOff>76200</xdr:colOff>
      <xdr:row>32</xdr:row>
      <xdr:rowOff>304800</xdr:rowOff>
    </xdr:to>
    <xdr:sp macro="" textlink="">
      <xdr:nvSpPr>
        <xdr:cNvPr id="20" name="Text Box 32">
          <a:extLst>
            <a:ext uri="{FF2B5EF4-FFF2-40B4-BE49-F238E27FC236}">
              <a16:creationId xmlns:a16="http://schemas.microsoft.com/office/drawing/2014/main" id="{53FF3FA1-531C-4ED1-8430-71959959B73D}"/>
            </a:ext>
          </a:extLst>
        </xdr:cNvPr>
        <xdr:cNvSpPr txBox="1">
          <a:spLocks noChangeArrowheads="1"/>
        </xdr:cNvSpPr>
      </xdr:nvSpPr>
      <xdr:spPr bwMode="auto">
        <a:xfrm>
          <a:off x="3143250" y="4781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21" name="Line 33">
          <a:extLst>
            <a:ext uri="{FF2B5EF4-FFF2-40B4-BE49-F238E27FC236}">
              <a16:creationId xmlns:a16="http://schemas.microsoft.com/office/drawing/2014/main" id="{94BC5189-210A-4F10-BBE4-778B397F57C2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22" name="Line 34">
          <a:extLst>
            <a:ext uri="{FF2B5EF4-FFF2-40B4-BE49-F238E27FC236}">
              <a16:creationId xmlns:a16="http://schemas.microsoft.com/office/drawing/2014/main" id="{39DFACAE-8260-4FF4-8255-844C4642A787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23" name="Line 35">
          <a:extLst>
            <a:ext uri="{FF2B5EF4-FFF2-40B4-BE49-F238E27FC236}">
              <a16:creationId xmlns:a16="http://schemas.microsoft.com/office/drawing/2014/main" id="{EF253164-6BBE-4480-89F0-5DEC62F19691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24" name="Line 36">
          <a:extLst>
            <a:ext uri="{FF2B5EF4-FFF2-40B4-BE49-F238E27FC236}">
              <a16:creationId xmlns:a16="http://schemas.microsoft.com/office/drawing/2014/main" id="{BA716DE6-6A08-47BA-A8F5-190CF00CE155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29</xdr:row>
      <xdr:rowOff>9525</xdr:rowOff>
    </xdr:from>
    <xdr:to>
      <xdr:col>10</xdr:col>
      <xdr:colOff>295275</xdr:colOff>
      <xdr:row>29</xdr:row>
      <xdr:rowOff>9525</xdr:rowOff>
    </xdr:to>
    <xdr:sp macro="" textlink="">
      <xdr:nvSpPr>
        <xdr:cNvPr id="25" name="Line 37">
          <a:extLst>
            <a:ext uri="{FF2B5EF4-FFF2-40B4-BE49-F238E27FC236}">
              <a16:creationId xmlns:a16="http://schemas.microsoft.com/office/drawing/2014/main" id="{93FFD407-507D-43E3-AF8E-0E4886B30993}"/>
            </a:ext>
          </a:extLst>
        </xdr:cNvPr>
        <xdr:cNvSpPr>
          <a:spLocks noChangeShapeType="1"/>
        </xdr:cNvSpPr>
      </xdr:nvSpPr>
      <xdr:spPr bwMode="auto">
        <a:xfrm>
          <a:off x="7124700" y="43434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26" name="Line 38">
          <a:extLst>
            <a:ext uri="{FF2B5EF4-FFF2-40B4-BE49-F238E27FC236}">
              <a16:creationId xmlns:a16="http://schemas.microsoft.com/office/drawing/2014/main" id="{5545B64B-DDF5-4457-A35A-CCEE7A629C9B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27" name="Line 39">
          <a:extLst>
            <a:ext uri="{FF2B5EF4-FFF2-40B4-BE49-F238E27FC236}">
              <a16:creationId xmlns:a16="http://schemas.microsoft.com/office/drawing/2014/main" id="{0E241493-F9ED-459B-BB2C-3966E1C4CC1B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28" name="Line 40">
          <a:extLst>
            <a:ext uri="{FF2B5EF4-FFF2-40B4-BE49-F238E27FC236}">
              <a16:creationId xmlns:a16="http://schemas.microsoft.com/office/drawing/2014/main" id="{2DEB6377-36FB-4820-8920-212C6F4FDF5E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29" name="Line 41">
          <a:extLst>
            <a:ext uri="{FF2B5EF4-FFF2-40B4-BE49-F238E27FC236}">
              <a16:creationId xmlns:a16="http://schemas.microsoft.com/office/drawing/2014/main" id="{18D93821-0400-4288-BD25-0A6B9BA59A78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32</xdr:row>
      <xdr:rowOff>114300</xdr:rowOff>
    </xdr:from>
    <xdr:to>
      <xdr:col>6</xdr:col>
      <xdr:colOff>76200</xdr:colOff>
      <xdr:row>33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B754B9-A92F-4196-93F9-B5C05816ED4F}"/>
            </a:ext>
          </a:extLst>
        </xdr:cNvPr>
        <xdr:cNvSpPr txBox="1">
          <a:spLocks noChangeArrowheads="1"/>
        </xdr:cNvSpPr>
      </xdr:nvSpPr>
      <xdr:spPr bwMode="auto">
        <a:xfrm>
          <a:off x="3143250" y="4791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987A0A4-C979-42BA-8900-5D1DF1298911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08FC84D-1FE2-49D0-8447-ACFEE2A79117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D97973A-9DE5-43C5-847D-F5E73E425296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AE00FEA-B95E-4B04-A0A5-F4EC28C65843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F44C590B-2B78-4ACD-85BD-3454C33AADA8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F027056C-84C1-43C1-816D-FC673F2059E5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60B24B50-DA24-4240-9E75-3E4D4692E8A7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5C0234C2-D06B-48D9-B553-BA08340C6F16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0</xdr:colOff>
      <xdr:row>32</xdr:row>
      <xdr:rowOff>123825</xdr:rowOff>
    </xdr:from>
    <xdr:to>
      <xdr:col>6</xdr:col>
      <xdr:colOff>76200</xdr:colOff>
      <xdr:row>33</xdr:row>
      <xdr:rowOff>9525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6EA01D5A-738B-4D78-99D8-27B824E05FBF}"/>
            </a:ext>
          </a:extLst>
        </xdr:cNvPr>
        <xdr:cNvSpPr txBox="1">
          <a:spLocks noChangeArrowheads="1"/>
        </xdr:cNvSpPr>
      </xdr:nvSpPr>
      <xdr:spPr bwMode="auto">
        <a:xfrm>
          <a:off x="3143250" y="4800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12" name="Line 23">
          <a:extLst>
            <a:ext uri="{FF2B5EF4-FFF2-40B4-BE49-F238E27FC236}">
              <a16:creationId xmlns:a16="http://schemas.microsoft.com/office/drawing/2014/main" id="{61BB05C2-902B-4C63-9B59-053C0458B654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88DBDF28-9F27-4222-B5AC-E831CA4E9FD9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14" name="Line 25">
          <a:extLst>
            <a:ext uri="{FF2B5EF4-FFF2-40B4-BE49-F238E27FC236}">
              <a16:creationId xmlns:a16="http://schemas.microsoft.com/office/drawing/2014/main" id="{C59769DA-E66A-4348-812B-8953EA2F8EE5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15" name="Line 26">
          <a:extLst>
            <a:ext uri="{FF2B5EF4-FFF2-40B4-BE49-F238E27FC236}">
              <a16:creationId xmlns:a16="http://schemas.microsoft.com/office/drawing/2014/main" id="{E5486D9B-36F9-436D-853D-51F32FEE8B3E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4A3730E6-9608-4793-ADBF-814A7AA332F9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B0A959A5-0855-40D9-970F-1CD30739E9A9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F66F6BDF-0F38-494E-B46E-22BA8A42A8B8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19" name="Line 31">
          <a:extLst>
            <a:ext uri="{FF2B5EF4-FFF2-40B4-BE49-F238E27FC236}">
              <a16:creationId xmlns:a16="http://schemas.microsoft.com/office/drawing/2014/main" id="{3BE99BA2-98BF-48C8-AAD6-2C7F9B2BF584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0</xdr:colOff>
      <xdr:row>32</xdr:row>
      <xdr:rowOff>104775</xdr:rowOff>
    </xdr:from>
    <xdr:to>
      <xdr:col>6</xdr:col>
      <xdr:colOff>76200</xdr:colOff>
      <xdr:row>32</xdr:row>
      <xdr:rowOff>304800</xdr:rowOff>
    </xdr:to>
    <xdr:sp macro="" textlink="">
      <xdr:nvSpPr>
        <xdr:cNvPr id="20" name="Text Box 32">
          <a:extLst>
            <a:ext uri="{FF2B5EF4-FFF2-40B4-BE49-F238E27FC236}">
              <a16:creationId xmlns:a16="http://schemas.microsoft.com/office/drawing/2014/main" id="{11078C6D-39F8-4DE4-BBF7-A8A315AB9630}"/>
            </a:ext>
          </a:extLst>
        </xdr:cNvPr>
        <xdr:cNvSpPr txBox="1">
          <a:spLocks noChangeArrowheads="1"/>
        </xdr:cNvSpPr>
      </xdr:nvSpPr>
      <xdr:spPr bwMode="auto">
        <a:xfrm>
          <a:off x="3143250" y="4781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21" name="Line 33">
          <a:extLst>
            <a:ext uri="{FF2B5EF4-FFF2-40B4-BE49-F238E27FC236}">
              <a16:creationId xmlns:a16="http://schemas.microsoft.com/office/drawing/2014/main" id="{01E25E96-E719-45E9-B26C-FD9A7B280484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22" name="Line 34">
          <a:extLst>
            <a:ext uri="{FF2B5EF4-FFF2-40B4-BE49-F238E27FC236}">
              <a16:creationId xmlns:a16="http://schemas.microsoft.com/office/drawing/2014/main" id="{D3DC8529-64A4-4570-AD92-C89770B94BA1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23" name="Line 35">
          <a:extLst>
            <a:ext uri="{FF2B5EF4-FFF2-40B4-BE49-F238E27FC236}">
              <a16:creationId xmlns:a16="http://schemas.microsoft.com/office/drawing/2014/main" id="{4B06A272-3071-4A21-A65E-325C14176797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24" name="Line 36">
          <a:extLst>
            <a:ext uri="{FF2B5EF4-FFF2-40B4-BE49-F238E27FC236}">
              <a16:creationId xmlns:a16="http://schemas.microsoft.com/office/drawing/2014/main" id="{CBB11237-4E62-4D94-A3CE-898BB05EB496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29</xdr:row>
      <xdr:rowOff>9525</xdr:rowOff>
    </xdr:from>
    <xdr:to>
      <xdr:col>10</xdr:col>
      <xdr:colOff>295275</xdr:colOff>
      <xdr:row>29</xdr:row>
      <xdr:rowOff>9525</xdr:rowOff>
    </xdr:to>
    <xdr:sp macro="" textlink="">
      <xdr:nvSpPr>
        <xdr:cNvPr id="25" name="Line 37">
          <a:extLst>
            <a:ext uri="{FF2B5EF4-FFF2-40B4-BE49-F238E27FC236}">
              <a16:creationId xmlns:a16="http://schemas.microsoft.com/office/drawing/2014/main" id="{DC9B0359-CEC1-4A66-98F2-A6963FF9BD36}"/>
            </a:ext>
          </a:extLst>
        </xdr:cNvPr>
        <xdr:cNvSpPr>
          <a:spLocks noChangeShapeType="1"/>
        </xdr:cNvSpPr>
      </xdr:nvSpPr>
      <xdr:spPr bwMode="auto">
        <a:xfrm>
          <a:off x="7124700" y="43434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26" name="Line 38">
          <a:extLst>
            <a:ext uri="{FF2B5EF4-FFF2-40B4-BE49-F238E27FC236}">
              <a16:creationId xmlns:a16="http://schemas.microsoft.com/office/drawing/2014/main" id="{8F13D5F9-24D1-4833-AA24-E75B2BAADC8E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27" name="Line 39">
          <a:extLst>
            <a:ext uri="{FF2B5EF4-FFF2-40B4-BE49-F238E27FC236}">
              <a16:creationId xmlns:a16="http://schemas.microsoft.com/office/drawing/2014/main" id="{3096E201-2753-4FEB-A8C9-8686EFAA2069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28" name="Line 40">
          <a:extLst>
            <a:ext uri="{FF2B5EF4-FFF2-40B4-BE49-F238E27FC236}">
              <a16:creationId xmlns:a16="http://schemas.microsoft.com/office/drawing/2014/main" id="{168B6261-5115-40EA-9564-784125F63479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29" name="Line 41">
          <a:extLst>
            <a:ext uri="{FF2B5EF4-FFF2-40B4-BE49-F238E27FC236}">
              <a16:creationId xmlns:a16="http://schemas.microsoft.com/office/drawing/2014/main" id="{9AE4E477-479F-43B5-8B70-005294DF1FE8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32</xdr:row>
      <xdr:rowOff>114300</xdr:rowOff>
    </xdr:from>
    <xdr:to>
      <xdr:col>6</xdr:col>
      <xdr:colOff>76200</xdr:colOff>
      <xdr:row>33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9F1B238-EEC8-4C2A-A31B-8BA5FB541776}"/>
            </a:ext>
          </a:extLst>
        </xdr:cNvPr>
        <xdr:cNvSpPr txBox="1">
          <a:spLocks noChangeArrowheads="1"/>
        </xdr:cNvSpPr>
      </xdr:nvSpPr>
      <xdr:spPr bwMode="auto">
        <a:xfrm>
          <a:off x="3143250" y="4791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1A8CB6E-9EBD-4C97-88EC-29616F95CF5B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64F3E20-F449-4B1F-992E-381620C2DC90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5695274-FCC9-4926-B131-10F2630B4213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34DBE7DC-93FC-4B24-B726-FA14F8AF887F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2BC47FA-A944-40FF-9E38-264DD06423F1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FE323A-FC54-438A-BC16-E97205BC267C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F84E70D1-4243-4854-AEE7-3A7C75BD7EA4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2B561EF5-9CFA-4591-A17B-6C13C4E606C2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0</xdr:colOff>
      <xdr:row>32</xdr:row>
      <xdr:rowOff>123825</xdr:rowOff>
    </xdr:from>
    <xdr:to>
      <xdr:col>6</xdr:col>
      <xdr:colOff>76200</xdr:colOff>
      <xdr:row>33</xdr:row>
      <xdr:rowOff>9525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8B522B47-328A-4F02-B86E-6F1D8C8AFE2D}"/>
            </a:ext>
          </a:extLst>
        </xdr:cNvPr>
        <xdr:cNvSpPr txBox="1">
          <a:spLocks noChangeArrowheads="1"/>
        </xdr:cNvSpPr>
      </xdr:nvSpPr>
      <xdr:spPr bwMode="auto">
        <a:xfrm>
          <a:off x="3143250" y="4800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12" name="Line 23">
          <a:extLst>
            <a:ext uri="{FF2B5EF4-FFF2-40B4-BE49-F238E27FC236}">
              <a16:creationId xmlns:a16="http://schemas.microsoft.com/office/drawing/2014/main" id="{E30AB5E2-A001-4AC1-9914-D9AD5D82628F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E7708076-1546-438C-BBB0-4D3D6FF4C3E9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14" name="Line 25">
          <a:extLst>
            <a:ext uri="{FF2B5EF4-FFF2-40B4-BE49-F238E27FC236}">
              <a16:creationId xmlns:a16="http://schemas.microsoft.com/office/drawing/2014/main" id="{39A487EA-C8FF-40F6-8BC2-201A11D7FD6E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15" name="Line 26">
          <a:extLst>
            <a:ext uri="{FF2B5EF4-FFF2-40B4-BE49-F238E27FC236}">
              <a16:creationId xmlns:a16="http://schemas.microsoft.com/office/drawing/2014/main" id="{5D2951A0-DEE2-4D9A-8078-C2A2632F7AED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FA22F5F1-6598-4B9A-80B3-1B7400BED67B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E2970CAA-4852-45E1-82D2-9B0DA7EB5362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43C1903C-FBA5-4794-B6CA-922DC4C911D7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19" name="Line 31">
          <a:extLst>
            <a:ext uri="{FF2B5EF4-FFF2-40B4-BE49-F238E27FC236}">
              <a16:creationId xmlns:a16="http://schemas.microsoft.com/office/drawing/2014/main" id="{70124465-3118-4777-8470-6F0531FA7928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0</xdr:colOff>
      <xdr:row>32</xdr:row>
      <xdr:rowOff>104775</xdr:rowOff>
    </xdr:from>
    <xdr:to>
      <xdr:col>6</xdr:col>
      <xdr:colOff>76200</xdr:colOff>
      <xdr:row>32</xdr:row>
      <xdr:rowOff>304800</xdr:rowOff>
    </xdr:to>
    <xdr:sp macro="" textlink="">
      <xdr:nvSpPr>
        <xdr:cNvPr id="20" name="Text Box 32">
          <a:extLst>
            <a:ext uri="{FF2B5EF4-FFF2-40B4-BE49-F238E27FC236}">
              <a16:creationId xmlns:a16="http://schemas.microsoft.com/office/drawing/2014/main" id="{CC1FB3A2-B683-4623-A22E-6083AE21150F}"/>
            </a:ext>
          </a:extLst>
        </xdr:cNvPr>
        <xdr:cNvSpPr txBox="1">
          <a:spLocks noChangeArrowheads="1"/>
        </xdr:cNvSpPr>
      </xdr:nvSpPr>
      <xdr:spPr bwMode="auto">
        <a:xfrm>
          <a:off x="3143250" y="4781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21" name="Line 33">
          <a:extLst>
            <a:ext uri="{FF2B5EF4-FFF2-40B4-BE49-F238E27FC236}">
              <a16:creationId xmlns:a16="http://schemas.microsoft.com/office/drawing/2014/main" id="{2BBBAC0E-3F3B-4F2B-B303-71EE25D1152C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22" name="Line 34">
          <a:extLst>
            <a:ext uri="{FF2B5EF4-FFF2-40B4-BE49-F238E27FC236}">
              <a16:creationId xmlns:a16="http://schemas.microsoft.com/office/drawing/2014/main" id="{B85C2E04-2438-4AF2-8E96-19E1DC85466E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23" name="Line 35">
          <a:extLst>
            <a:ext uri="{FF2B5EF4-FFF2-40B4-BE49-F238E27FC236}">
              <a16:creationId xmlns:a16="http://schemas.microsoft.com/office/drawing/2014/main" id="{54B85FE7-DA14-4DD8-A4BE-F6695F9F3661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24" name="Line 36">
          <a:extLst>
            <a:ext uri="{FF2B5EF4-FFF2-40B4-BE49-F238E27FC236}">
              <a16:creationId xmlns:a16="http://schemas.microsoft.com/office/drawing/2014/main" id="{4B37E30C-5C7A-42AF-A207-A1B577CC5EA7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29</xdr:row>
      <xdr:rowOff>9525</xdr:rowOff>
    </xdr:from>
    <xdr:to>
      <xdr:col>10</xdr:col>
      <xdr:colOff>295275</xdr:colOff>
      <xdr:row>29</xdr:row>
      <xdr:rowOff>9525</xdr:rowOff>
    </xdr:to>
    <xdr:sp macro="" textlink="">
      <xdr:nvSpPr>
        <xdr:cNvPr id="25" name="Line 37">
          <a:extLst>
            <a:ext uri="{FF2B5EF4-FFF2-40B4-BE49-F238E27FC236}">
              <a16:creationId xmlns:a16="http://schemas.microsoft.com/office/drawing/2014/main" id="{A4C1539D-7F25-467C-B86B-34FF41460109}"/>
            </a:ext>
          </a:extLst>
        </xdr:cNvPr>
        <xdr:cNvSpPr>
          <a:spLocks noChangeShapeType="1"/>
        </xdr:cNvSpPr>
      </xdr:nvSpPr>
      <xdr:spPr bwMode="auto">
        <a:xfrm>
          <a:off x="7124700" y="43434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26" name="Line 38">
          <a:extLst>
            <a:ext uri="{FF2B5EF4-FFF2-40B4-BE49-F238E27FC236}">
              <a16:creationId xmlns:a16="http://schemas.microsoft.com/office/drawing/2014/main" id="{24489B52-F5E5-45D1-BE73-224AED319257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27" name="Line 39">
          <a:extLst>
            <a:ext uri="{FF2B5EF4-FFF2-40B4-BE49-F238E27FC236}">
              <a16:creationId xmlns:a16="http://schemas.microsoft.com/office/drawing/2014/main" id="{86F3833A-B63A-4626-85BA-74B8ECA5F96A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28" name="Line 40">
          <a:extLst>
            <a:ext uri="{FF2B5EF4-FFF2-40B4-BE49-F238E27FC236}">
              <a16:creationId xmlns:a16="http://schemas.microsoft.com/office/drawing/2014/main" id="{B4F78A73-AC26-46F8-99F5-00C7075A135E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29" name="Line 41">
          <a:extLst>
            <a:ext uri="{FF2B5EF4-FFF2-40B4-BE49-F238E27FC236}">
              <a16:creationId xmlns:a16="http://schemas.microsoft.com/office/drawing/2014/main" id="{D9D3EA44-AE2E-4698-B46D-57104667F3A5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32</xdr:row>
      <xdr:rowOff>114300</xdr:rowOff>
    </xdr:from>
    <xdr:to>
      <xdr:col>6</xdr:col>
      <xdr:colOff>76200</xdr:colOff>
      <xdr:row>33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51092E-4ECC-4A95-9470-B564A428C006}"/>
            </a:ext>
          </a:extLst>
        </xdr:cNvPr>
        <xdr:cNvSpPr txBox="1">
          <a:spLocks noChangeArrowheads="1"/>
        </xdr:cNvSpPr>
      </xdr:nvSpPr>
      <xdr:spPr bwMode="auto">
        <a:xfrm>
          <a:off x="3143250" y="4791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C3519BE-E684-474D-AE72-6896A44F75FC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BD3BFC8-5C2D-48B8-ABE7-F6E852405283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9863F50-0AF7-4C71-9295-39378F05035C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DFEFB94B-D929-4A85-BF5F-92CB159B29E9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8FDD55AA-B557-49C4-BEC9-DD09583EC7C2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D3860AB0-0A97-4300-ABA9-07829C49B68F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53863E6E-9809-4A47-8DA8-D2FB4459780A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1669CD5-A835-4CAB-8933-273AC5D58AA3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0</xdr:colOff>
      <xdr:row>32</xdr:row>
      <xdr:rowOff>123825</xdr:rowOff>
    </xdr:from>
    <xdr:to>
      <xdr:col>6</xdr:col>
      <xdr:colOff>76200</xdr:colOff>
      <xdr:row>33</xdr:row>
      <xdr:rowOff>9525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803C022E-274C-4AA1-A098-99EA093128D7}"/>
            </a:ext>
          </a:extLst>
        </xdr:cNvPr>
        <xdr:cNvSpPr txBox="1">
          <a:spLocks noChangeArrowheads="1"/>
        </xdr:cNvSpPr>
      </xdr:nvSpPr>
      <xdr:spPr bwMode="auto">
        <a:xfrm>
          <a:off x="3143250" y="4800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12" name="Line 23">
          <a:extLst>
            <a:ext uri="{FF2B5EF4-FFF2-40B4-BE49-F238E27FC236}">
              <a16:creationId xmlns:a16="http://schemas.microsoft.com/office/drawing/2014/main" id="{D95387FE-52D7-40F2-8937-0DE22222EF33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79BFE035-7558-47BB-90F8-F3DD678FE5AA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14" name="Line 25">
          <a:extLst>
            <a:ext uri="{FF2B5EF4-FFF2-40B4-BE49-F238E27FC236}">
              <a16:creationId xmlns:a16="http://schemas.microsoft.com/office/drawing/2014/main" id="{61D0144F-D064-416E-9542-277CFBDA6C5A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15" name="Line 26">
          <a:extLst>
            <a:ext uri="{FF2B5EF4-FFF2-40B4-BE49-F238E27FC236}">
              <a16:creationId xmlns:a16="http://schemas.microsoft.com/office/drawing/2014/main" id="{9E4F2A05-2058-4219-8639-F348875C1CDF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4259A16A-364D-49BF-9D40-1CD9C2DEBAEB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65BB9F44-C564-496F-9637-25E74AC8B067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A117B546-09B6-4438-A7B1-3B43DE9AFB74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19" name="Line 31">
          <a:extLst>
            <a:ext uri="{FF2B5EF4-FFF2-40B4-BE49-F238E27FC236}">
              <a16:creationId xmlns:a16="http://schemas.microsoft.com/office/drawing/2014/main" id="{33D85212-769E-48AF-A54F-6001A9BD8AC6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0</xdr:colOff>
      <xdr:row>32</xdr:row>
      <xdr:rowOff>104775</xdr:rowOff>
    </xdr:from>
    <xdr:to>
      <xdr:col>6</xdr:col>
      <xdr:colOff>76200</xdr:colOff>
      <xdr:row>32</xdr:row>
      <xdr:rowOff>304800</xdr:rowOff>
    </xdr:to>
    <xdr:sp macro="" textlink="">
      <xdr:nvSpPr>
        <xdr:cNvPr id="20" name="Text Box 32">
          <a:extLst>
            <a:ext uri="{FF2B5EF4-FFF2-40B4-BE49-F238E27FC236}">
              <a16:creationId xmlns:a16="http://schemas.microsoft.com/office/drawing/2014/main" id="{2FE28C66-C9E0-43F3-A6AF-57B5302A41B6}"/>
            </a:ext>
          </a:extLst>
        </xdr:cNvPr>
        <xdr:cNvSpPr txBox="1">
          <a:spLocks noChangeArrowheads="1"/>
        </xdr:cNvSpPr>
      </xdr:nvSpPr>
      <xdr:spPr bwMode="auto">
        <a:xfrm>
          <a:off x="3143250" y="4781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16</xdr:row>
      <xdr:rowOff>123825</xdr:rowOff>
    </xdr:from>
    <xdr:to>
      <xdr:col>10</xdr:col>
      <xdr:colOff>390525</xdr:colOff>
      <xdr:row>16</xdr:row>
      <xdr:rowOff>123825</xdr:rowOff>
    </xdr:to>
    <xdr:sp macro="" textlink="">
      <xdr:nvSpPr>
        <xdr:cNvPr id="21" name="Line 33">
          <a:extLst>
            <a:ext uri="{FF2B5EF4-FFF2-40B4-BE49-F238E27FC236}">
              <a16:creationId xmlns:a16="http://schemas.microsoft.com/office/drawing/2014/main" id="{2D638A61-F7F7-4955-A0A7-2B1FCC4FFA50}"/>
            </a:ext>
          </a:extLst>
        </xdr:cNvPr>
        <xdr:cNvSpPr>
          <a:spLocks noChangeShapeType="1"/>
        </xdr:cNvSpPr>
      </xdr:nvSpPr>
      <xdr:spPr bwMode="auto">
        <a:xfrm>
          <a:off x="7134225" y="2581275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22" name="Line 34">
          <a:extLst>
            <a:ext uri="{FF2B5EF4-FFF2-40B4-BE49-F238E27FC236}">
              <a16:creationId xmlns:a16="http://schemas.microsoft.com/office/drawing/2014/main" id="{86980DAB-325C-4F09-AF75-315D7AEFC642}"/>
            </a:ext>
          </a:extLst>
        </xdr:cNvPr>
        <xdr:cNvSpPr>
          <a:spLocks noChangeShapeType="1"/>
        </xdr:cNvSpPr>
      </xdr:nvSpPr>
      <xdr:spPr bwMode="auto">
        <a:xfrm>
          <a:off x="7143750" y="32670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400050</xdr:colOff>
      <xdr:row>24</xdr:row>
      <xdr:rowOff>76200</xdr:rowOff>
    </xdr:to>
    <xdr:sp macro="" textlink="">
      <xdr:nvSpPr>
        <xdr:cNvPr id="23" name="Line 35">
          <a:extLst>
            <a:ext uri="{FF2B5EF4-FFF2-40B4-BE49-F238E27FC236}">
              <a16:creationId xmlns:a16="http://schemas.microsoft.com/office/drawing/2014/main" id="{66DC84EA-05E2-4053-95F3-A552B20EEF08}"/>
            </a:ext>
          </a:extLst>
        </xdr:cNvPr>
        <xdr:cNvSpPr>
          <a:spLocks noChangeShapeType="1"/>
        </xdr:cNvSpPr>
      </xdr:nvSpPr>
      <xdr:spPr bwMode="auto">
        <a:xfrm>
          <a:off x="7143750" y="37719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26</xdr:row>
      <xdr:rowOff>76200</xdr:rowOff>
    </xdr:from>
    <xdr:to>
      <xdr:col>10</xdr:col>
      <xdr:colOff>400050</xdr:colOff>
      <xdr:row>26</xdr:row>
      <xdr:rowOff>76200</xdr:rowOff>
    </xdr:to>
    <xdr:sp macro="" textlink="">
      <xdr:nvSpPr>
        <xdr:cNvPr id="24" name="Line 36">
          <a:extLst>
            <a:ext uri="{FF2B5EF4-FFF2-40B4-BE49-F238E27FC236}">
              <a16:creationId xmlns:a16="http://schemas.microsoft.com/office/drawing/2014/main" id="{7393036E-01E2-47D6-AABA-E77F98B12A8E}"/>
            </a:ext>
          </a:extLst>
        </xdr:cNvPr>
        <xdr:cNvSpPr>
          <a:spLocks noChangeShapeType="1"/>
        </xdr:cNvSpPr>
      </xdr:nvSpPr>
      <xdr:spPr bwMode="auto">
        <a:xfrm>
          <a:off x="7143750" y="404812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29</xdr:row>
      <xdr:rowOff>9525</xdr:rowOff>
    </xdr:from>
    <xdr:to>
      <xdr:col>10</xdr:col>
      <xdr:colOff>295275</xdr:colOff>
      <xdr:row>29</xdr:row>
      <xdr:rowOff>9525</xdr:rowOff>
    </xdr:to>
    <xdr:sp macro="" textlink="">
      <xdr:nvSpPr>
        <xdr:cNvPr id="25" name="Line 37">
          <a:extLst>
            <a:ext uri="{FF2B5EF4-FFF2-40B4-BE49-F238E27FC236}">
              <a16:creationId xmlns:a16="http://schemas.microsoft.com/office/drawing/2014/main" id="{76A4D4CF-6B6B-4EB7-B964-8AD1F394B56A}"/>
            </a:ext>
          </a:extLst>
        </xdr:cNvPr>
        <xdr:cNvSpPr>
          <a:spLocks noChangeShapeType="1"/>
        </xdr:cNvSpPr>
      </xdr:nvSpPr>
      <xdr:spPr bwMode="auto">
        <a:xfrm>
          <a:off x="7124700" y="4343400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32</xdr:row>
      <xdr:rowOff>104775</xdr:rowOff>
    </xdr:from>
    <xdr:to>
      <xdr:col>10</xdr:col>
      <xdr:colOff>390525</xdr:colOff>
      <xdr:row>32</xdr:row>
      <xdr:rowOff>104775</xdr:rowOff>
    </xdr:to>
    <xdr:sp macro="" textlink="">
      <xdr:nvSpPr>
        <xdr:cNvPr id="26" name="Line 38">
          <a:extLst>
            <a:ext uri="{FF2B5EF4-FFF2-40B4-BE49-F238E27FC236}">
              <a16:creationId xmlns:a16="http://schemas.microsoft.com/office/drawing/2014/main" id="{B79A4078-5E35-4512-BA15-D8C18A6514DD}"/>
            </a:ext>
          </a:extLst>
        </xdr:cNvPr>
        <xdr:cNvSpPr>
          <a:spLocks noChangeShapeType="1"/>
        </xdr:cNvSpPr>
      </xdr:nvSpPr>
      <xdr:spPr bwMode="auto">
        <a:xfrm>
          <a:off x="7134225" y="4781550"/>
          <a:ext cx="885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9</xdr:row>
      <xdr:rowOff>95250</xdr:rowOff>
    </xdr:from>
    <xdr:to>
      <xdr:col>10</xdr:col>
      <xdr:colOff>381000</xdr:colOff>
      <xdr:row>9</xdr:row>
      <xdr:rowOff>95250</xdr:rowOff>
    </xdr:to>
    <xdr:sp macro="" textlink="">
      <xdr:nvSpPr>
        <xdr:cNvPr id="27" name="Line 39">
          <a:extLst>
            <a:ext uri="{FF2B5EF4-FFF2-40B4-BE49-F238E27FC236}">
              <a16:creationId xmlns:a16="http://schemas.microsoft.com/office/drawing/2014/main" id="{8EF1985C-7880-4271-876E-EBBF34290EF5}"/>
            </a:ext>
          </a:extLst>
        </xdr:cNvPr>
        <xdr:cNvSpPr>
          <a:spLocks noChangeShapeType="1"/>
        </xdr:cNvSpPr>
      </xdr:nvSpPr>
      <xdr:spPr bwMode="auto">
        <a:xfrm>
          <a:off x="7124700" y="14478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22</xdr:row>
      <xdr:rowOff>142875</xdr:rowOff>
    </xdr:from>
    <xdr:to>
      <xdr:col>11</xdr:col>
      <xdr:colOff>0</xdr:colOff>
      <xdr:row>22</xdr:row>
      <xdr:rowOff>142875</xdr:rowOff>
    </xdr:to>
    <xdr:sp macro="" textlink="">
      <xdr:nvSpPr>
        <xdr:cNvPr id="28" name="Line 40">
          <a:extLst>
            <a:ext uri="{FF2B5EF4-FFF2-40B4-BE49-F238E27FC236}">
              <a16:creationId xmlns:a16="http://schemas.microsoft.com/office/drawing/2014/main" id="{9E539837-0AA4-4EBF-8E10-3D6C42F5B633}"/>
            </a:ext>
          </a:extLst>
        </xdr:cNvPr>
        <xdr:cNvSpPr>
          <a:spLocks noChangeShapeType="1"/>
        </xdr:cNvSpPr>
      </xdr:nvSpPr>
      <xdr:spPr bwMode="auto">
        <a:xfrm>
          <a:off x="7143750" y="3533775"/>
          <a:ext cx="8763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</xdr:colOff>
      <xdr:row>12</xdr:row>
      <xdr:rowOff>95250</xdr:rowOff>
    </xdr:from>
    <xdr:to>
      <xdr:col>10</xdr:col>
      <xdr:colOff>381000</xdr:colOff>
      <xdr:row>12</xdr:row>
      <xdr:rowOff>95250</xdr:rowOff>
    </xdr:to>
    <xdr:sp macro="" textlink="">
      <xdr:nvSpPr>
        <xdr:cNvPr id="29" name="Line 41">
          <a:extLst>
            <a:ext uri="{FF2B5EF4-FFF2-40B4-BE49-F238E27FC236}">
              <a16:creationId xmlns:a16="http://schemas.microsoft.com/office/drawing/2014/main" id="{60831CDF-155D-4D41-A7F4-323AC03C29EB}"/>
            </a:ext>
          </a:extLst>
        </xdr:cNvPr>
        <xdr:cNvSpPr>
          <a:spLocks noChangeShapeType="1"/>
        </xdr:cNvSpPr>
      </xdr:nvSpPr>
      <xdr:spPr bwMode="auto">
        <a:xfrm>
          <a:off x="7124700" y="1981200"/>
          <a:ext cx="8953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N196"/>
  <sheetViews>
    <sheetView tabSelected="1" topLeftCell="A11" workbookViewId="0">
      <selection activeCell="P46" sqref="P46:Q46"/>
    </sheetView>
  </sheetViews>
  <sheetFormatPr defaultColWidth="9.1640625" defaultRowHeight="12.75" x14ac:dyDescent="0.2"/>
  <cols>
    <col min="1" max="6" width="9.1640625" style="38"/>
    <col min="7" max="7" width="18.83203125" style="2" customWidth="1"/>
    <col min="8" max="8" width="35.33203125" style="2" customWidth="1"/>
    <col min="9" max="9" width="13.83203125" style="2" customWidth="1"/>
    <col min="10" max="10" width="11.83203125" style="2" customWidth="1"/>
    <col min="11" max="11" width="5.5" style="2" customWidth="1"/>
    <col min="12" max="12" width="16.1640625" style="2" customWidth="1"/>
    <col min="13" max="13" width="1.6640625" style="2" customWidth="1"/>
    <col min="14" max="14" width="14.1640625" style="2" customWidth="1"/>
    <col min="15" max="15" width="36.5" style="2" customWidth="1"/>
    <col min="16" max="16" width="7.83203125" style="2" customWidth="1"/>
    <col min="17" max="17" width="14" style="2" customWidth="1"/>
    <col min="18" max="18" width="15.6640625" style="38" hidden="1" customWidth="1"/>
    <col min="19" max="19" width="13.1640625" style="38" hidden="1" customWidth="1"/>
    <col min="20" max="20" width="15" style="38" hidden="1" customWidth="1"/>
    <col min="21" max="21" width="11" style="38" hidden="1" customWidth="1"/>
    <col min="22" max="22" width="9.1640625" style="38" hidden="1" customWidth="1"/>
    <col min="23" max="23" width="12.83203125" style="38" hidden="1" customWidth="1"/>
    <col min="24" max="28" width="9.1640625" style="38" hidden="1" customWidth="1"/>
    <col min="29" max="29" width="10.5" style="38" hidden="1" customWidth="1"/>
    <col min="30" max="30" width="14.1640625" style="38" hidden="1" customWidth="1"/>
    <col min="31" max="32" width="10.5" style="38" hidden="1" customWidth="1"/>
    <col min="33" max="33" width="9.1640625" style="38" hidden="1" customWidth="1"/>
    <col min="34" max="34" width="9.1640625" style="38" customWidth="1"/>
    <col min="35" max="66" width="9.1640625" style="38"/>
    <col min="67" max="16384" width="9.1640625" style="2"/>
  </cols>
  <sheetData>
    <row r="1" spans="7:66" ht="15" hidden="1" customHeight="1" x14ac:dyDescent="0.25">
      <c r="Q1" s="2" t="s">
        <v>0</v>
      </c>
      <c r="R1" s="37"/>
    </row>
    <row r="2" spans="7:66" ht="16.5" thickTop="1" x14ac:dyDescent="0.25">
      <c r="G2" s="218" t="s">
        <v>1</v>
      </c>
      <c r="H2" s="219"/>
      <c r="I2" s="219"/>
      <c r="J2" s="219"/>
      <c r="K2" s="219"/>
      <c r="L2" s="219"/>
      <c r="M2" s="219"/>
      <c r="N2" s="219"/>
      <c r="O2" s="219"/>
      <c r="P2" s="219"/>
      <c r="Q2" s="220"/>
      <c r="R2" s="129"/>
      <c r="T2" s="119">
        <v>52088.6</v>
      </c>
      <c r="U2" s="116" t="s">
        <v>75</v>
      </c>
      <c r="V2" s="102"/>
      <c r="W2" s="102"/>
      <c r="X2" s="102"/>
      <c r="Y2" s="102"/>
      <c r="Z2" s="102"/>
      <c r="AA2" s="103"/>
    </row>
    <row r="3" spans="7:66" ht="12.75" hidden="1" customHeight="1" x14ac:dyDescent="0.2">
      <c r="G3" s="60"/>
      <c r="H3" s="3"/>
      <c r="I3" s="3"/>
      <c r="J3" s="3"/>
      <c r="K3" s="3"/>
      <c r="N3" s="3"/>
      <c r="O3" s="4"/>
      <c r="P3" s="4"/>
      <c r="Q3" s="61"/>
      <c r="R3" s="129"/>
      <c r="S3" s="39"/>
      <c r="T3" s="120"/>
      <c r="AA3" s="104"/>
    </row>
    <row r="4" spans="7:66" ht="3.75" hidden="1" customHeight="1" x14ac:dyDescent="0.2">
      <c r="G4" s="62"/>
      <c r="Q4" s="63"/>
      <c r="R4" s="129"/>
      <c r="T4" s="120"/>
      <c r="AA4" s="104"/>
    </row>
    <row r="5" spans="7:66" ht="13.5" customHeight="1" x14ac:dyDescent="0.25">
      <c r="G5" s="64"/>
      <c r="H5" s="4"/>
      <c r="J5" s="5"/>
      <c r="Q5" s="65"/>
      <c r="R5" s="129"/>
      <c r="T5" s="121">
        <v>4000</v>
      </c>
      <c r="U5" s="105" t="s">
        <v>117</v>
      </c>
      <c r="V5" s="105"/>
      <c r="W5" s="105"/>
      <c r="X5" s="105"/>
      <c r="Y5" s="105"/>
      <c r="Z5" s="105"/>
      <c r="AA5" s="106"/>
      <c r="AB5" s="38">
        <f>T2*T6*12/1000</f>
        <v>775828.44384000008</v>
      </c>
    </row>
    <row r="6" spans="7:66" ht="36" customHeight="1" x14ac:dyDescent="0.2">
      <c r="G6" s="62"/>
      <c r="J6" s="1"/>
      <c r="P6" s="225" t="s">
        <v>74</v>
      </c>
      <c r="Q6" s="226"/>
      <c r="R6" s="129"/>
      <c r="T6" s="130">
        <v>1241.2</v>
      </c>
      <c r="U6" s="131" t="s">
        <v>126</v>
      </c>
      <c r="V6" s="131"/>
      <c r="W6" s="131"/>
      <c r="X6" s="131"/>
      <c r="Y6" s="131"/>
      <c r="Z6" s="131"/>
      <c r="AA6" s="131"/>
      <c r="AB6" s="93"/>
      <c r="AC6" s="93"/>
      <c r="AD6" s="93"/>
      <c r="AF6" s="93"/>
      <c r="AH6" s="93"/>
      <c r="AJ6" s="93"/>
      <c r="AL6" s="93"/>
      <c r="AN6" s="93"/>
      <c r="AP6" s="93"/>
      <c r="AR6" s="93"/>
      <c r="AT6" s="93"/>
      <c r="AV6" s="93"/>
      <c r="AX6" s="93"/>
      <c r="AZ6" s="93"/>
      <c r="BB6" s="93"/>
      <c r="BD6" s="93"/>
      <c r="BF6" s="93"/>
      <c r="BH6" s="93"/>
      <c r="BJ6" s="93"/>
      <c r="BL6" s="93"/>
      <c r="BN6" s="93"/>
    </row>
    <row r="7" spans="7:66" ht="12.75" customHeight="1" x14ac:dyDescent="0.25">
      <c r="G7" s="62"/>
      <c r="L7" s="206" t="s">
        <v>3</v>
      </c>
      <c r="N7" s="6" t="s">
        <v>4</v>
      </c>
      <c r="O7" s="6"/>
      <c r="P7" s="6"/>
      <c r="Q7" s="66">
        <f>SUM(Q9:Q13)</f>
        <v>280762.92980000004</v>
      </c>
      <c r="R7" s="129"/>
      <c r="S7" s="40"/>
      <c r="T7" s="122">
        <f>T2*T8</f>
        <v>44934.075000000004</v>
      </c>
      <c r="U7" s="102" t="s">
        <v>123</v>
      </c>
      <c r="V7" s="102"/>
      <c r="W7" s="102"/>
      <c r="X7" s="102"/>
      <c r="Y7" s="102"/>
      <c r="Z7" s="102"/>
      <c r="AA7" s="107"/>
      <c r="AB7" s="93"/>
      <c r="AC7" s="93"/>
      <c r="AD7" s="93"/>
      <c r="AF7" s="93"/>
      <c r="AH7" s="93"/>
      <c r="AJ7" s="93"/>
      <c r="AL7" s="93"/>
      <c r="AN7" s="93"/>
      <c r="AP7" s="93"/>
      <c r="AR7" s="93"/>
      <c r="AT7" s="93"/>
      <c r="AV7" s="93"/>
      <c r="AX7" s="93"/>
      <c r="AZ7" s="93"/>
      <c r="BB7" s="93"/>
      <c r="BD7" s="93"/>
      <c r="BF7" s="93"/>
      <c r="BH7" s="93"/>
      <c r="BJ7" s="93"/>
      <c r="BL7" s="93"/>
      <c r="BN7" s="93"/>
    </row>
    <row r="8" spans="7:66" ht="12.75" customHeight="1" x14ac:dyDescent="0.2">
      <c r="G8" s="67"/>
      <c r="I8" s="2" t="s">
        <v>2</v>
      </c>
      <c r="L8" s="206"/>
      <c r="N8" s="2" t="s">
        <v>5</v>
      </c>
      <c r="Q8" s="63"/>
      <c r="R8" s="129"/>
      <c r="S8" s="43"/>
      <c r="T8" s="124">
        <v>0.86264700913443648</v>
      </c>
      <c r="U8" s="105" t="s">
        <v>122</v>
      </c>
      <c r="V8" s="105"/>
      <c r="W8" s="105"/>
      <c r="X8" s="105">
        <f>AF25/T2</f>
        <v>0.86264700913443648</v>
      </c>
      <c r="Y8" s="142"/>
      <c r="Z8" s="142"/>
      <c r="AA8" s="108"/>
      <c r="AB8" s="93"/>
      <c r="AC8" s="93"/>
      <c r="AD8" s="93"/>
      <c r="AF8" s="93"/>
      <c r="AH8" s="93"/>
      <c r="AJ8" s="93"/>
      <c r="AL8" s="93"/>
      <c r="AN8" s="93"/>
      <c r="AP8" s="93"/>
      <c r="AR8" s="93"/>
      <c r="AT8" s="93"/>
      <c r="AV8" s="93"/>
      <c r="AX8" s="93"/>
      <c r="AZ8" s="93"/>
      <c r="BB8" s="93"/>
      <c r="BD8" s="93"/>
      <c r="BF8" s="93"/>
      <c r="BH8" s="93"/>
      <c r="BJ8" s="93"/>
      <c r="BL8" s="93"/>
      <c r="BN8" s="93"/>
    </row>
    <row r="9" spans="7:66" ht="15" x14ac:dyDescent="0.25">
      <c r="G9" s="68" t="s">
        <v>6</v>
      </c>
      <c r="L9" s="206"/>
      <c r="N9" s="9" t="s">
        <v>7</v>
      </c>
      <c r="O9" s="9"/>
      <c r="P9" s="9"/>
      <c r="Q9" s="69">
        <v>140718.15400000001</v>
      </c>
      <c r="R9" s="129"/>
      <c r="T9" s="123">
        <v>394</v>
      </c>
      <c r="U9" s="143" t="s">
        <v>89</v>
      </c>
      <c r="V9" s="143"/>
      <c r="W9" s="143"/>
      <c r="X9" s="143"/>
      <c r="Y9" s="143"/>
      <c r="Z9" s="142"/>
      <c r="AA9" s="108"/>
      <c r="AB9" s="93"/>
      <c r="AD9" s="93"/>
      <c r="AE9" s="93"/>
      <c r="AF9" s="93"/>
      <c r="AH9" s="93"/>
      <c r="AJ9" s="93"/>
      <c r="AL9" s="93"/>
      <c r="AN9" s="93"/>
      <c r="AP9" s="93"/>
      <c r="AR9" s="93"/>
      <c r="AT9" s="93"/>
      <c r="AV9" s="93"/>
      <c r="AX9" s="93"/>
      <c r="AZ9" s="93"/>
      <c r="BB9" s="93"/>
      <c r="BD9" s="93"/>
      <c r="BF9" s="93"/>
      <c r="BH9" s="93"/>
      <c r="BJ9" s="93"/>
      <c r="BL9" s="93"/>
      <c r="BN9" s="93"/>
    </row>
    <row r="10" spans="7:66" ht="15" x14ac:dyDescent="0.25">
      <c r="G10" s="70"/>
      <c r="H10" s="6" t="s">
        <v>8</v>
      </c>
      <c r="I10" s="10">
        <f>((J71*T6+T11*J88)*T17/1000+T2*T42*15%*T37*12/1000000+T51*13%*T46*12/1000000)</f>
        <v>115269.85799947999</v>
      </c>
      <c r="L10" s="206"/>
      <c r="N10" s="9" t="s">
        <v>71</v>
      </c>
      <c r="O10" s="9"/>
      <c r="P10" s="9"/>
      <c r="Q10" s="69">
        <v>43180.132700000002</v>
      </c>
      <c r="R10" s="129"/>
      <c r="T10" s="123">
        <v>98.861000000000004</v>
      </c>
      <c r="U10" s="143" t="s">
        <v>94</v>
      </c>
      <c r="V10" s="143"/>
      <c r="W10" s="143"/>
      <c r="X10" s="143"/>
      <c r="Y10" s="143"/>
      <c r="Z10" s="143"/>
      <c r="AA10" s="108"/>
      <c r="AB10" s="93" t="s">
        <v>77</v>
      </c>
      <c r="AC10" s="99">
        <v>55575</v>
      </c>
      <c r="AD10" s="38" t="s">
        <v>78</v>
      </c>
      <c r="AE10" s="99">
        <v>66018.5</v>
      </c>
      <c r="AF10" s="93" t="s">
        <v>79</v>
      </c>
      <c r="AH10" s="93"/>
      <c r="AJ10" s="93"/>
      <c r="AL10" s="93"/>
      <c r="AN10" s="93"/>
      <c r="AP10" s="93"/>
      <c r="AR10" s="93"/>
      <c r="AT10" s="93"/>
      <c r="AV10" s="93"/>
      <c r="AX10" s="93"/>
      <c r="AZ10" s="93"/>
      <c r="BB10" s="93"/>
      <c r="BD10" s="93"/>
      <c r="BF10" s="93"/>
      <c r="BH10" s="93"/>
      <c r="BJ10" s="93"/>
      <c r="BL10" s="93"/>
      <c r="BN10" s="93"/>
    </row>
    <row r="11" spans="7:66" ht="13.5" x14ac:dyDescent="0.25">
      <c r="G11" s="70"/>
      <c r="H11" s="6"/>
      <c r="I11" s="10"/>
      <c r="L11" s="206"/>
      <c r="N11" s="9" t="s">
        <v>72</v>
      </c>
      <c r="O11" s="9"/>
      <c r="P11" s="9"/>
      <c r="Q11" s="69">
        <v>14588.1214</v>
      </c>
      <c r="R11" s="129"/>
      <c r="T11" s="120">
        <f>AE10/AC10*T10</f>
        <v>117.43868517318938</v>
      </c>
      <c r="U11" s="143" t="s">
        <v>119</v>
      </c>
      <c r="V11" s="143"/>
      <c r="W11" s="143"/>
      <c r="X11" s="143"/>
      <c r="Y11" s="143"/>
      <c r="Z11" s="143"/>
      <c r="AA11" s="108"/>
      <c r="AB11" s="93"/>
      <c r="AC11" s="93"/>
      <c r="AD11" s="93"/>
      <c r="AE11" s="93"/>
      <c r="AF11" s="93"/>
      <c r="AH11" s="93"/>
      <c r="AJ11" s="93"/>
      <c r="AL11" s="93"/>
      <c r="AN11" s="93"/>
      <c r="AP11" s="93"/>
      <c r="AR11" s="93"/>
      <c r="AT11" s="93"/>
      <c r="AV11" s="93"/>
      <c r="AX11" s="93"/>
      <c r="AZ11" s="93"/>
      <c r="BB11" s="93"/>
      <c r="BD11" s="93"/>
      <c r="BF11" s="93"/>
      <c r="BH11" s="93"/>
      <c r="BJ11" s="93"/>
      <c r="BL11" s="93"/>
      <c r="BN11" s="93"/>
    </row>
    <row r="12" spans="7:66" ht="13.5" customHeight="1" x14ac:dyDescent="0.25">
      <c r="G12" s="67"/>
      <c r="H12" s="221" t="s">
        <v>47</v>
      </c>
      <c r="I12" s="8"/>
      <c r="L12" s="206"/>
      <c r="N12" s="9" t="s">
        <v>42</v>
      </c>
      <c r="O12" s="9"/>
      <c r="P12" s="9"/>
      <c r="Q12" s="69">
        <f>23789.7836+1869.115</f>
        <v>25658.8986</v>
      </c>
      <c r="R12" s="129"/>
      <c r="T12" s="124">
        <f>T10*AF25*12*6%</f>
        <v>3198403.8637740002</v>
      </c>
      <c r="U12" s="105" t="s">
        <v>95</v>
      </c>
      <c r="V12" s="105"/>
      <c r="W12" s="105"/>
      <c r="X12" s="105"/>
      <c r="Y12" s="105"/>
      <c r="Z12" s="105"/>
      <c r="AA12" s="115"/>
      <c r="AB12" s="93"/>
      <c r="AC12" s="93"/>
      <c r="AD12" s="93"/>
      <c r="AF12" s="93" t="s">
        <v>80</v>
      </c>
      <c r="AH12" s="93"/>
      <c r="AJ12" s="93"/>
      <c r="AL12" s="93"/>
      <c r="AN12" s="93"/>
      <c r="AP12" s="93"/>
      <c r="AR12" s="93"/>
      <c r="AT12" s="93"/>
      <c r="AV12" s="93"/>
      <c r="AX12" s="93"/>
      <c r="AZ12" s="93"/>
      <c r="BB12" s="93"/>
      <c r="BD12" s="93"/>
      <c r="BF12" s="93"/>
      <c r="BH12" s="93"/>
      <c r="BJ12" s="93"/>
      <c r="BL12" s="93"/>
      <c r="BN12" s="93"/>
    </row>
    <row r="13" spans="7:66" ht="13.5" customHeight="1" x14ac:dyDescent="0.25">
      <c r="G13" s="70"/>
      <c r="H13" s="221"/>
      <c r="I13" s="10">
        <f>T12/1000+T33/1000</f>
        <v>3214.9325637739998</v>
      </c>
      <c r="L13" s="206"/>
      <c r="N13" s="9" t="s">
        <v>73</v>
      </c>
      <c r="O13" s="9"/>
      <c r="P13" s="9"/>
      <c r="Q13" s="69">
        <v>56617.623099999997</v>
      </c>
      <c r="R13" s="129"/>
      <c r="T13" s="125"/>
      <c r="AA13" s="93"/>
      <c r="AB13" s="93"/>
      <c r="AC13" s="93"/>
      <c r="AD13" s="93"/>
      <c r="AF13" s="100">
        <v>36862</v>
      </c>
      <c r="AH13" s="93"/>
      <c r="AJ13" s="93"/>
      <c r="AL13" s="93"/>
      <c r="AN13" s="93"/>
      <c r="AP13" s="93"/>
      <c r="AR13" s="93"/>
      <c r="AT13" s="93"/>
      <c r="AV13" s="93"/>
      <c r="AX13" s="93"/>
      <c r="AZ13" s="93"/>
      <c r="BB13" s="93"/>
      <c r="BD13" s="93"/>
      <c r="BF13" s="93"/>
      <c r="BH13" s="93"/>
      <c r="BJ13" s="93"/>
      <c r="BL13" s="93"/>
      <c r="BN13" s="93"/>
    </row>
    <row r="14" spans="7:66" ht="7.5" customHeight="1" x14ac:dyDescent="0.25">
      <c r="G14" s="62"/>
      <c r="H14" s="11"/>
      <c r="I14" s="8"/>
      <c r="L14" s="206"/>
      <c r="N14" s="9"/>
      <c r="O14" s="6"/>
      <c r="P14" s="6"/>
      <c r="Q14" s="71"/>
      <c r="R14" s="129"/>
      <c r="T14" s="125"/>
      <c r="AA14" s="93"/>
      <c r="AB14" s="93"/>
      <c r="AC14" s="93"/>
      <c r="AD14" s="93"/>
      <c r="AF14" s="100">
        <f>AF13</f>
        <v>36862</v>
      </c>
      <c r="AH14" s="93"/>
      <c r="AJ14" s="93"/>
      <c r="AL14" s="93"/>
      <c r="AN14" s="93"/>
      <c r="AP14" s="93"/>
      <c r="AR14" s="93"/>
      <c r="AT14" s="93"/>
      <c r="AV14" s="93"/>
      <c r="AX14" s="93"/>
      <c r="AZ14" s="93"/>
      <c r="BB14" s="93"/>
      <c r="BD14" s="93"/>
      <c r="BF14" s="93"/>
      <c r="BH14" s="93"/>
      <c r="BJ14" s="93"/>
      <c r="BL14" s="93"/>
      <c r="BN14" s="93"/>
    </row>
    <row r="15" spans="7:66" ht="6.75" customHeight="1" x14ac:dyDescent="0.2">
      <c r="G15" s="62"/>
      <c r="H15" s="7"/>
      <c r="I15" s="8"/>
      <c r="L15" s="206"/>
      <c r="Q15" s="63"/>
      <c r="R15" s="129"/>
      <c r="T15" s="125"/>
      <c r="AA15" s="93"/>
      <c r="AB15" s="93"/>
      <c r="AC15" s="93"/>
      <c r="AD15" s="93"/>
      <c r="AF15" s="100">
        <f>AF14</f>
        <v>36862</v>
      </c>
      <c r="AH15" s="93"/>
      <c r="AJ15" s="93"/>
      <c r="AL15" s="93"/>
      <c r="AN15" s="93"/>
      <c r="AP15" s="93"/>
      <c r="AR15" s="93"/>
      <c r="AT15" s="93"/>
      <c r="AV15" s="93"/>
      <c r="AX15" s="93"/>
      <c r="AZ15" s="93"/>
      <c r="BB15" s="93"/>
      <c r="BD15" s="93"/>
      <c r="BF15" s="93"/>
      <c r="BH15" s="93"/>
      <c r="BJ15" s="93"/>
      <c r="BL15" s="93"/>
      <c r="BN15" s="93"/>
    </row>
    <row r="16" spans="7:66" ht="17.25" customHeight="1" thickBot="1" x14ac:dyDescent="0.3">
      <c r="G16" s="70"/>
      <c r="H16" s="5" t="s">
        <v>87</v>
      </c>
      <c r="I16" s="7"/>
      <c r="L16" s="206"/>
      <c r="N16" s="222" t="s">
        <v>56</v>
      </c>
      <c r="O16" s="223"/>
      <c r="P16" s="223"/>
      <c r="Q16" s="224"/>
      <c r="R16" s="129"/>
      <c r="T16" s="122">
        <v>99124</v>
      </c>
      <c r="U16" s="102" t="s">
        <v>121</v>
      </c>
      <c r="V16" s="102"/>
      <c r="W16" s="102"/>
      <c r="X16" s="102"/>
      <c r="Y16" s="102"/>
      <c r="Z16" s="102"/>
      <c r="AA16" s="102"/>
      <c r="AB16" s="103"/>
      <c r="AC16" s="93"/>
      <c r="AD16" s="93"/>
      <c r="AF16" s="100">
        <v>45365</v>
      </c>
      <c r="AH16" s="93"/>
      <c r="AJ16" s="93"/>
      <c r="AL16" s="93"/>
      <c r="AN16" s="93"/>
      <c r="AP16" s="93"/>
      <c r="AR16" s="93"/>
      <c r="AT16" s="93"/>
      <c r="AV16" s="93"/>
      <c r="AX16" s="93"/>
      <c r="AZ16" s="93"/>
      <c r="BB16" s="93"/>
      <c r="BD16" s="93"/>
      <c r="BF16" s="93"/>
      <c r="BH16" s="93"/>
      <c r="BJ16" s="93"/>
      <c r="BL16" s="93"/>
      <c r="BN16" s="93"/>
    </row>
    <row r="17" spans="7:66" ht="14.25" customHeight="1" x14ac:dyDescent="0.25">
      <c r="G17" s="72"/>
      <c r="H17" s="5" t="s">
        <v>88</v>
      </c>
      <c r="I17" s="10">
        <f>T2*(2.9%+5.1%)*12*T6/1000</f>
        <v>62066.275507199978</v>
      </c>
      <c r="L17" s="206"/>
      <c r="N17" s="27"/>
      <c r="O17" s="28" t="s">
        <v>76</v>
      </c>
      <c r="P17" s="28"/>
      <c r="Q17" s="73">
        <f>ROUND(T2,1)</f>
        <v>52088.6</v>
      </c>
      <c r="R17" s="129"/>
      <c r="T17" s="124">
        <v>0.92525296006285551</v>
      </c>
      <c r="U17" s="105" t="s">
        <v>122</v>
      </c>
      <c r="V17" s="105"/>
      <c r="W17" s="105"/>
      <c r="X17" s="105">
        <f>T16/((T6*J71+T11*J88)/1000)</f>
        <v>0.92525296006285551</v>
      </c>
      <c r="Y17" s="105"/>
      <c r="Z17" s="105"/>
      <c r="AA17" s="105"/>
      <c r="AB17" s="106"/>
      <c r="AC17" s="93"/>
      <c r="AD17" s="93"/>
      <c r="AF17" s="100">
        <f t="shared" ref="AF17:AF18" si="0">AF16</f>
        <v>45365</v>
      </c>
      <c r="AH17" s="93"/>
      <c r="AJ17" s="93"/>
      <c r="AL17" s="93"/>
      <c r="AN17" s="93"/>
      <c r="AP17" s="93"/>
      <c r="AR17" s="93"/>
      <c r="AT17" s="93"/>
      <c r="AV17" s="93"/>
      <c r="AX17" s="93"/>
      <c r="AZ17" s="93"/>
      <c r="BB17" s="93"/>
      <c r="BD17" s="93"/>
      <c r="BF17" s="93"/>
      <c r="BH17" s="93"/>
      <c r="BJ17" s="93"/>
      <c r="BL17" s="93"/>
      <c r="BN17" s="93"/>
    </row>
    <row r="18" spans="7:66" ht="3" customHeight="1" x14ac:dyDescent="0.2">
      <c r="G18" s="67"/>
      <c r="H18" s="5"/>
      <c r="L18" s="206"/>
      <c r="N18" s="29"/>
      <c r="Q18" s="74"/>
      <c r="R18" s="129"/>
      <c r="T18" s="126"/>
      <c r="U18" s="102"/>
      <c r="V18" s="102"/>
      <c r="W18" s="102"/>
      <c r="X18" s="102"/>
      <c r="Y18" s="102"/>
      <c r="Z18" s="102"/>
      <c r="AA18" s="102"/>
      <c r="AB18" s="103"/>
      <c r="AD18" s="93"/>
      <c r="AF18" s="100">
        <f t="shared" si="0"/>
        <v>45365</v>
      </c>
      <c r="AH18" s="93"/>
      <c r="AJ18" s="93"/>
      <c r="AL18" s="93"/>
      <c r="AN18" s="93"/>
      <c r="AP18" s="93"/>
      <c r="AR18" s="93"/>
      <c r="AT18" s="93"/>
      <c r="AV18" s="93"/>
      <c r="AX18" s="93"/>
      <c r="AZ18" s="93"/>
      <c r="BB18" s="93"/>
      <c r="BD18" s="93"/>
      <c r="BF18" s="93"/>
      <c r="BH18" s="93"/>
      <c r="BJ18" s="93"/>
      <c r="BL18" s="93"/>
      <c r="BN18" s="93"/>
    </row>
    <row r="19" spans="7:66" ht="15" x14ac:dyDescent="0.25">
      <c r="G19" s="70"/>
      <c r="H19" s="6"/>
      <c r="I19" s="4" t="s">
        <v>9</v>
      </c>
      <c r="J19" s="12">
        <f>I10+I13+I17</f>
        <v>180551.06607045396</v>
      </c>
      <c r="L19" s="206"/>
      <c r="N19" s="29"/>
      <c r="O19" s="13" t="s">
        <v>86</v>
      </c>
      <c r="P19" s="13"/>
      <c r="Q19" s="74">
        <f>ROUND(T6,1)</f>
        <v>1241.2</v>
      </c>
      <c r="R19" s="129"/>
      <c r="T19" s="123">
        <v>241.55799999999999</v>
      </c>
      <c r="U19" s="38" t="s">
        <v>90</v>
      </c>
      <c r="AA19" s="93"/>
      <c r="AB19" s="108"/>
      <c r="AC19" s="93"/>
      <c r="AD19" s="93"/>
      <c r="AF19" s="100">
        <v>44973</v>
      </c>
      <c r="AH19" s="93"/>
      <c r="AJ19" s="93"/>
      <c r="AL19" s="93"/>
      <c r="AN19" s="93"/>
      <c r="AP19" s="93"/>
      <c r="AR19" s="93"/>
      <c r="AT19" s="93"/>
      <c r="AV19" s="93"/>
      <c r="AX19" s="93"/>
      <c r="AZ19" s="93"/>
      <c r="BB19" s="93"/>
      <c r="BD19" s="93"/>
      <c r="BF19" s="93"/>
      <c r="BH19" s="93"/>
      <c r="BJ19" s="93"/>
      <c r="BL19" s="93"/>
      <c r="BN19" s="93"/>
    </row>
    <row r="20" spans="7:66" ht="18" customHeight="1" thickBot="1" x14ac:dyDescent="0.3">
      <c r="G20" s="67"/>
      <c r="H20" s="6"/>
      <c r="I20" s="10"/>
      <c r="J20" s="7"/>
      <c r="L20" s="206"/>
      <c r="N20" s="210" t="s">
        <v>15</v>
      </c>
      <c r="O20" s="211"/>
      <c r="P20" s="30"/>
      <c r="Q20" s="75">
        <f>Q7-J19</f>
        <v>100211.86372954608</v>
      </c>
      <c r="R20" s="129"/>
      <c r="T20" s="120">
        <f>T6+T19</f>
        <v>1482.758</v>
      </c>
      <c r="U20" s="38" t="s">
        <v>61</v>
      </c>
      <c r="AA20" s="93"/>
      <c r="AB20" s="108"/>
      <c r="AC20" s="94"/>
      <c r="AF20" s="100">
        <f t="shared" ref="AF20:AF21" si="1">AF19</f>
        <v>44973</v>
      </c>
    </row>
    <row r="21" spans="7:66" ht="6.75" customHeight="1" x14ac:dyDescent="0.2">
      <c r="G21" s="67"/>
      <c r="H21" s="6"/>
      <c r="L21" s="182" t="s">
        <v>10</v>
      </c>
      <c r="N21" s="6"/>
      <c r="O21" s="6"/>
      <c r="P21" s="6"/>
      <c r="Q21" s="76"/>
      <c r="R21" s="129"/>
      <c r="T21" s="120"/>
      <c r="AB21" s="104"/>
      <c r="AF21" s="100">
        <f t="shared" si="1"/>
        <v>44973</v>
      </c>
    </row>
    <row r="22" spans="7:66" ht="16.5" customHeight="1" thickBot="1" x14ac:dyDescent="0.3">
      <c r="G22" s="67"/>
      <c r="H22" s="6" t="s">
        <v>11</v>
      </c>
      <c r="I22" s="58">
        <v>166083.99904143999</v>
      </c>
      <c r="L22" s="183"/>
      <c r="N22" s="212" t="s">
        <v>53</v>
      </c>
      <c r="O22" s="213"/>
      <c r="P22" s="213"/>
      <c r="Q22" s="214"/>
      <c r="R22" s="129"/>
      <c r="T22" s="120">
        <v>2431.35</v>
      </c>
      <c r="U22" s="38" t="s">
        <v>81</v>
      </c>
      <c r="AB22" s="104"/>
      <c r="AF22" s="100">
        <v>52536.3</v>
      </c>
    </row>
    <row r="23" spans="7:66" ht="17.25" customHeight="1" x14ac:dyDescent="0.25">
      <c r="G23" s="67"/>
      <c r="H23" s="6" t="s">
        <v>43</v>
      </c>
      <c r="I23" s="58">
        <f>22008.48504986-I13</f>
        <v>18793.552486085999</v>
      </c>
      <c r="L23" s="183"/>
      <c r="N23" s="91" t="s">
        <v>57</v>
      </c>
      <c r="O23" s="207" t="s">
        <v>58</v>
      </c>
      <c r="P23" s="207"/>
      <c r="Q23" s="144">
        <f>Q17</f>
        <v>52088.6</v>
      </c>
      <c r="R23" s="129"/>
      <c r="T23" s="124"/>
      <c r="U23" s="105"/>
      <c r="V23" s="105"/>
      <c r="W23" s="105"/>
      <c r="X23" s="105"/>
      <c r="Y23" s="105"/>
      <c r="Z23" s="105"/>
      <c r="AA23" s="105"/>
      <c r="AB23" s="106"/>
      <c r="AF23" s="100">
        <f t="shared" ref="AF23:AF24" si="2">AF22</f>
        <v>52536.3</v>
      </c>
    </row>
    <row r="24" spans="7:66" ht="6.75" customHeight="1" x14ac:dyDescent="0.2">
      <c r="G24" s="67"/>
      <c r="H24" s="6"/>
      <c r="I24" s="58"/>
      <c r="L24" s="183"/>
      <c r="N24" s="29"/>
      <c r="Q24" s="77"/>
      <c r="R24" s="129"/>
      <c r="T24" s="125"/>
      <c r="AF24" s="100">
        <f t="shared" si="2"/>
        <v>52536.3</v>
      </c>
    </row>
    <row r="25" spans="7:66" ht="15" x14ac:dyDescent="0.25">
      <c r="G25" s="67"/>
      <c r="H25" s="6" t="s">
        <v>12</v>
      </c>
      <c r="I25" s="58">
        <v>51630.810465069997</v>
      </c>
      <c r="L25" s="183"/>
      <c r="N25" s="29"/>
      <c r="O25" s="208" t="s">
        <v>51</v>
      </c>
      <c r="P25" s="208"/>
      <c r="Q25" s="145">
        <f>Q19</f>
        <v>1241.2</v>
      </c>
      <c r="R25" s="129"/>
      <c r="T25" s="122">
        <v>275.60199999999998</v>
      </c>
      <c r="U25" s="102" t="s">
        <v>82</v>
      </c>
      <c r="V25" s="102"/>
      <c r="W25" s="102"/>
      <c r="X25" s="103"/>
      <c r="AF25" s="101">
        <f>AVERAGE(AF13:AF24)</f>
        <v>44934.075000000004</v>
      </c>
    </row>
    <row r="26" spans="7:66" ht="6.75" customHeight="1" x14ac:dyDescent="0.2">
      <c r="G26" s="67"/>
      <c r="H26" s="6"/>
      <c r="I26" s="58"/>
      <c r="L26" s="183"/>
      <c r="N26" s="29"/>
      <c r="O26" s="13"/>
      <c r="P26" s="13"/>
      <c r="Q26" s="78"/>
      <c r="R26" s="129"/>
      <c r="T26" s="120"/>
      <c r="X26" s="104"/>
    </row>
    <row r="27" spans="7:66" ht="14.25" customHeight="1" x14ac:dyDescent="0.2">
      <c r="G27" s="79" t="s">
        <v>13</v>
      </c>
      <c r="H27" s="6" t="s">
        <v>14</v>
      </c>
      <c r="I27" s="58">
        <v>42831.928368959998</v>
      </c>
      <c r="L27" s="183"/>
      <c r="N27" s="29"/>
      <c r="O27" s="204" t="s">
        <v>59</v>
      </c>
      <c r="P27" s="204"/>
      <c r="Q27" s="205">
        <v>0</v>
      </c>
      <c r="R27" s="129"/>
      <c r="T27" s="128">
        <v>0.3</v>
      </c>
      <c r="U27" s="38" t="s">
        <v>83</v>
      </c>
      <c r="X27" s="104"/>
    </row>
    <row r="28" spans="7:66" ht="6.75" customHeight="1" x14ac:dyDescent="0.2">
      <c r="G28" s="79"/>
      <c r="H28" s="6"/>
      <c r="I28" s="58"/>
      <c r="L28" s="183"/>
      <c r="N28" s="29"/>
      <c r="O28" s="204"/>
      <c r="P28" s="204"/>
      <c r="Q28" s="205"/>
      <c r="R28" s="129"/>
      <c r="T28" s="150">
        <f>T25*T27</f>
        <v>82.680599999999984</v>
      </c>
      <c r="U28" s="151" t="s">
        <v>84</v>
      </c>
      <c r="V28" s="151"/>
      <c r="W28" s="151"/>
      <c r="X28" s="104"/>
    </row>
    <row r="29" spans="7:66" ht="7.5" customHeight="1" x14ac:dyDescent="0.2">
      <c r="G29" s="67"/>
      <c r="H29" s="221" t="s">
        <v>46</v>
      </c>
      <c r="I29" s="181">
        <v>117.68817423</v>
      </c>
      <c r="L29" s="183"/>
      <c r="N29" s="29"/>
      <c r="O29" s="204"/>
      <c r="P29" s="204"/>
      <c r="Q29" s="205"/>
      <c r="R29" s="129"/>
      <c r="T29" s="150"/>
      <c r="U29" s="151"/>
      <c r="V29" s="151"/>
      <c r="W29" s="151"/>
      <c r="X29" s="104"/>
      <c r="AD29" s="148"/>
    </row>
    <row r="30" spans="7:66" ht="9" customHeight="1" x14ac:dyDescent="0.2">
      <c r="G30" s="67"/>
      <c r="H30" s="221"/>
      <c r="I30" s="181"/>
      <c r="L30" s="183"/>
      <c r="N30" s="29"/>
      <c r="O30" s="209" t="s">
        <v>62</v>
      </c>
      <c r="P30" s="209"/>
      <c r="Q30" s="215">
        <f>Q25+T19*Q27</f>
        <v>1241.2</v>
      </c>
      <c r="R30" s="217"/>
      <c r="S30" s="216"/>
      <c r="T30" s="150">
        <f>ROUND(T2/39588.3*26171.08,2)</f>
        <v>34434.79</v>
      </c>
      <c r="X30" s="104"/>
      <c r="AD30" s="149"/>
    </row>
    <row r="31" spans="7:66" ht="9" customHeight="1" x14ac:dyDescent="0.2">
      <c r="G31" s="67"/>
      <c r="H31" s="221"/>
      <c r="I31" s="181"/>
      <c r="L31" s="183"/>
      <c r="N31" s="29"/>
      <c r="O31" s="209"/>
      <c r="P31" s="209"/>
      <c r="Q31" s="215"/>
      <c r="R31" s="217"/>
      <c r="S31" s="216"/>
      <c r="T31" s="150"/>
      <c r="U31" s="38" t="s">
        <v>85</v>
      </c>
      <c r="X31" s="104"/>
    </row>
    <row r="32" spans="7:66" ht="9" customHeight="1" x14ac:dyDescent="0.2">
      <c r="G32" s="67"/>
      <c r="H32" s="221"/>
      <c r="I32" s="181"/>
      <c r="L32" s="183"/>
      <c r="N32" s="29"/>
      <c r="O32" s="209"/>
      <c r="P32" s="209"/>
      <c r="Q32" s="215"/>
      <c r="R32" s="129"/>
      <c r="T32" s="120"/>
      <c r="X32" s="104"/>
    </row>
    <row r="33" spans="7:29" ht="24.75" customHeight="1" thickBot="1" x14ac:dyDescent="0.3">
      <c r="G33" s="67"/>
      <c r="H33" s="36" t="s">
        <v>16</v>
      </c>
      <c r="I33" s="59">
        <f>1366.24474126-0.2428341</f>
        <v>1366.00190716</v>
      </c>
      <c r="L33" s="183"/>
      <c r="N33" s="92" t="s">
        <v>60</v>
      </c>
      <c r="O33" s="33" t="s">
        <v>15</v>
      </c>
      <c r="P33" s="34"/>
      <c r="Q33" s="80">
        <f>'Консолид_(мод)'!Q20</f>
        <v>100211.86372954608</v>
      </c>
      <c r="R33" s="129"/>
      <c r="S33" s="41"/>
      <c r="T33" s="124">
        <f>ROUND(T30*0.04*12,2)</f>
        <v>16528.7</v>
      </c>
      <c r="U33" s="105" t="s">
        <v>95</v>
      </c>
      <c r="V33" s="105"/>
      <c r="W33" s="105"/>
      <c r="X33" s="106"/>
    </row>
    <row r="34" spans="7:29" ht="4.5" customHeight="1" x14ac:dyDescent="0.2">
      <c r="G34" s="67"/>
      <c r="I34" s="8"/>
      <c r="L34" s="183"/>
      <c r="Q34" s="63"/>
      <c r="R34" s="129"/>
      <c r="T34" s="125"/>
    </row>
    <row r="35" spans="7:29" ht="15.75" customHeight="1" x14ac:dyDescent="0.2">
      <c r="G35" s="62"/>
      <c r="I35" s="4" t="s">
        <v>9</v>
      </c>
      <c r="J35" s="12">
        <f>I22+I23+I25+I27+I29+I33</f>
        <v>280823.98044294596</v>
      </c>
      <c r="L35" s="184"/>
      <c r="N35" s="202" t="str">
        <f>IF(Q25&gt;T22,"ВНИМАНИЕ! Численность работающих превышает численность экономически активного населения в Республике Татарстан",IF(Q25&gt;T20,"ВНИМАНИЕ! Численность работающих превышает, имеющуюся численность работающих в Республике Татарстан с учетом привлечения всех занятых на сером рынке труда"," "))</f>
        <v xml:space="preserve"> </v>
      </c>
      <c r="O35" s="202"/>
      <c r="P35" s="202"/>
      <c r="Q35" s="203"/>
      <c r="R35" s="129"/>
      <c r="T35" s="127">
        <v>1E-3</v>
      </c>
      <c r="U35" s="102" t="s">
        <v>91</v>
      </c>
      <c r="V35" s="102"/>
      <c r="W35" s="102"/>
      <c r="X35" s="102"/>
      <c r="Y35" s="102"/>
      <c r="Z35" s="102"/>
      <c r="AA35" s="102"/>
      <c r="AB35" s="102"/>
      <c r="AC35" s="103"/>
    </row>
    <row r="36" spans="7:29" ht="8.25" customHeight="1" x14ac:dyDescent="0.2">
      <c r="G36" s="62"/>
      <c r="I36" s="8"/>
      <c r="N36" s="202"/>
      <c r="O36" s="202"/>
      <c r="P36" s="202"/>
      <c r="Q36" s="203"/>
      <c r="R36" s="129"/>
      <c r="T36" s="120"/>
      <c r="AC36" s="104"/>
    </row>
    <row r="37" spans="7:29" ht="15.75" customHeight="1" x14ac:dyDescent="0.2">
      <c r="G37" s="62"/>
      <c r="N37" s="202"/>
      <c r="O37" s="202"/>
      <c r="P37" s="202"/>
      <c r="Q37" s="203"/>
      <c r="R37" s="129"/>
      <c r="T37" s="120">
        <f>T6*T35*1000</f>
        <v>1241.2</v>
      </c>
      <c r="U37" s="38" t="s">
        <v>92</v>
      </c>
      <c r="AC37" s="104"/>
    </row>
    <row r="38" spans="7:29" ht="15" x14ac:dyDescent="0.25">
      <c r="G38" s="62"/>
      <c r="Q38" s="63"/>
      <c r="R38" s="129"/>
      <c r="T38" s="123">
        <v>12867.91947922</v>
      </c>
      <c r="U38" s="38" t="s">
        <v>93</v>
      </c>
      <c r="AC38" s="104"/>
    </row>
    <row r="39" spans="7:29" ht="2.25" customHeight="1" x14ac:dyDescent="0.2">
      <c r="G39" s="62"/>
      <c r="H39" s="2" t="s">
        <v>17</v>
      </c>
      <c r="Q39" s="63"/>
      <c r="R39" s="129"/>
      <c r="T39" s="120"/>
      <c r="AC39" s="104"/>
    </row>
    <row r="40" spans="7:29" ht="27" customHeight="1" x14ac:dyDescent="0.2">
      <c r="G40" s="81" t="s">
        <v>18</v>
      </c>
      <c r="H40" s="35" t="s">
        <v>48</v>
      </c>
      <c r="I40" s="188" t="s">
        <v>19</v>
      </c>
      <c r="J40" s="188"/>
      <c r="K40" s="188"/>
      <c r="L40" s="188" t="s">
        <v>20</v>
      </c>
      <c r="M40" s="188"/>
      <c r="N40" s="188"/>
      <c r="O40" s="23" t="s">
        <v>21</v>
      </c>
      <c r="P40" s="227" t="s">
        <v>15</v>
      </c>
      <c r="Q40" s="228"/>
      <c r="R40" s="129"/>
      <c r="T40" s="120">
        <f>T38/T37/12*1000000</f>
        <v>863943.46057712962</v>
      </c>
      <c r="U40" s="38" t="s">
        <v>124</v>
      </c>
      <c r="AC40" s="104"/>
    </row>
    <row r="41" spans="7:29" ht="17.25" customHeight="1" x14ac:dyDescent="0.2">
      <c r="G41" s="82" t="s">
        <v>52</v>
      </c>
      <c r="H41" s="31">
        <f>$Q$19</f>
        <v>1241.2</v>
      </c>
      <c r="I41" s="168">
        <f>$T$2</f>
        <v>52088.6</v>
      </c>
      <c r="J41" s="169"/>
      <c r="K41" s="170"/>
      <c r="L41" s="185">
        <f>$J$19</f>
        <v>180551.06607045396</v>
      </c>
      <c r="M41" s="186"/>
      <c r="N41" s="187"/>
      <c r="O41" s="31">
        <f>Q7</f>
        <v>280762.92980000004</v>
      </c>
      <c r="P41" s="200">
        <f>O41-L41</f>
        <v>100211.86372954608</v>
      </c>
      <c r="Q41" s="201"/>
      <c r="R41" s="129"/>
      <c r="T41" s="120">
        <f>T40/15%*100%</f>
        <v>5759623.0705141975</v>
      </c>
      <c r="U41" s="38" t="s">
        <v>116</v>
      </c>
      <c r="AC41" s="104"/>
    </row>
    <row r="42" spans="7:29" x14ac:dyDescent="0.2">
      <c r="G42" s="83" t="s">
        <v>44</v>
      </c>
      <c r="H42" s="25">
        <f>'Подбор численности'!H42</f>
        <v>1982.8</v>
      </c>
      <c r="I42" s="164">
        <f>'Подбор численности'!I42:K42</f>
        <v>52088.6</v>
      </c>
      <c r="J42" s="165"/>
      <c r="K42" s="166"/>
      <c r="L42" s="164">
        <f>'Подбор численности'!L42:N42</f>
        <v>280762.92980024207</v>
      </c>
      <c r="M42" s="167"/>
      <c r="N42" s="166"/>
      <c r="O42" s="25">
        <f>$Q$7</f>
        <v>280762.92980000004</v>
      </c>
      <c r="P42" s="156">
        <f>O42-L42</f>
        <v>-2.4202745407819748E-7</v>
      </c>
      <c r="Q42" s="157"/>
      <c r="R42" s="129"/>
      <c r="T42" s="124">
        <v>110.57358175328571</v>
      </c>
      <c r="U42" s="105" t="s">
        <v>122</v>
      </c>
      <c r="V42" s="105"/>
      <c r="W42" s="105"/>
      <c r="X42" s="105">
        <f>T41/T2</f>
        <v>110.57358175328571</v>
      </c>
      <c r="Y42" s="105"/>
      <c r="Z42" s="105"/>
      <c r="AA42" s="105"/>
      <c r="AB42" s="105"/>
      <c r="AC42" s="106"/>
    </row>
    <row r="43" spans="7:29" ht="6" customHeight="1" x14ac:dyDescent="0.2">
      <c r="G43" s="84"/>
      <c r="H43" s="24"/>
      <c r="I43" s="162"/>
      <c r="J43" s="171"/>
      <c r="K43" s="172"/>
      <c r="L43" s="162"/>
      <c r="M43" s="171"/>
      <c r="N43" s="172"/>
      <c r="O43" s="24"/>
      <c r="P43" s="162"/>
      <c r="Q43" s="163"/>
      <c r="R43" s="129"/>
      <c r="T43" s="125"/>
    </row>
    <row r="44" spans="7:29" ht="15" x14ac:dyDescent="0.25">
      <c r="G44" s="83" t="s">
        <v>45</v>
      </c>
      <c r="H44" s="25">
        <f>'Подбор зарплаты'!H44</f>
        <v>1241.2</v>
      </c>
      <c r="I44" s="158">
        <f>'Подбор зарплаты'!I44</f>
        <v>81648.694480473467</v>
      </c>
      <c r="J44" s="189"/>
      <c r="K44" s="190"/>
      <c r="L44" s="158">
        <f>'Подбор зарплаты'!L44</f>
        <v>280762.92980287131</v>
      </c>
      <c r="M44" s="189"/>
      <c r="N44" s="190"/>
      <c r="O44" s="25">
        <f>Q7</f>
        <v>280762.92980000004</v>
      </c>
      <c r="P44" s="158">
        <f>O44-L44</f>
        <v>-2.8712674975395203E-6</v>
      </c>
      <c r="Q44" s="159"/>
      <c r="R44" s="129"/>
      <c r="T44" s="122">
        <f>SUM(Y74:Y80)/1000000</f>
        <v>3277.9385202600001</v>
      </c>
      <c r="U44" s="102" t="s">
        <v>112</v>
      </c>
      <c r="V44" s="102"/>
      <c r="W44" s="102"/>
      <c r="X44" s="102"/>
      <c r="Y44" s="102"/>
      <c r="Z44" s="102"/>
      <c r="AA44" s="102"/>
      <c r="AB44" s="102"/>
      <c r="AC44" s="103"/>
    </row>
    <row r="45" spans="7:29" ht="6.75" customHeight="1" x14ac:dyDescent="0.2">
      <c r="G45" s="83"/>
      <c r="H45" s="26"/>
      <c r="I45" s="197"/>
      <c r="J45" s="198"/>
      <c r="K45" s="199"/>
      <c r="L45" s="173"/>
      <c r="M45" s="174"/>
      <c r="N45" s="175"/>
      <c r="O45" s="25"/>
      <c r="P45" s="158"/>
      <c r="Q45" s="159"/>
      <c r="R45" s="129"/>
      <c r="T45" s="120"/>
      <c r="AC45" s="104"/>
    </row>
    <row r="46" spans="7:29" ht="22.5" customHeight="1" x14ac:dyDescent="0.25">
      <c r="G46" s="135" t="s">
        <v>22</v>
      </c>
      <c r="H46" s="136">
        <f>'Подбор "серый рынок"'!H46</f>
        <v>1482.8</v>
      </c>
      <c r="I46" s="194">
        <f>'Подбор "серый рынок"'!I46:K46</f>
        <v>52088.6</v>
      </c>
      <c r="J46" s="195"/>
      <c r="K46" s="196"/>
      <c r="L46" s="191">
        <f>'Подбор "серый рынок"'!L46:N46</f>
        <v>213198.42433353234</v>
      </c>
      <c r="M46" s="192"/>
      <c r="N46" s="193"/>
      <c r="O46" s="137">
        <f>Q7</f>
        <v>280762.92980000004</v>
      </c>
      <c r="P46" s="160">
        <f>O46-L46</f>
        <v>67564.505466467701</v>
      </c>
      <c r="Q46" s="161"/>
      <c r="R46" s="129"/>
      <c r="T46" s="123">
        <v>4000854</v>
      </c>
      <c r="U46" s="38" t="s">
        <v>113</v>
      </c>
      <c r="AC46" s="104"/>
    </row>
    <row r="47" spans="7:29" ht="6.75" hidden="1" customHeight="1" x14ac:dyDescent="0.2">
      <c r="G47" s="176" t="s">
        <v>23</v>
      </c>
      <c r="H47" s="18"/>
      <c r="I47" s="14"/>
      <c r="J47" s="8"/>
      <c r="K47" s="15"/>
      <c r="L47" s="14"/>
      <c r="N47" s="15"/>
      <c r="O47" s="16"/>
      <c r="Q47" s="63"/>
      <c r="R47" s="129"/>
      <c r="T47" s="120"/>
      <c r="AC47" s="104"/>
    </row>
    <row r="48" spans="7:29" ht="43.5" hidden="1" customHeight="1" thickBot="1" x14ac:dyDescent="0.25">
      <c r="G48" s="177"/>
      <c r="H48" s="19">
        <v>1901</v>
      </c>
      <c r="I48" s="20" t="s">
        <v>24</v>
      </c>
      <c r="J48" s="21">
        <v>5060</v>
      </c>
      <c r="K48" s="17"/>
      <c r="L48" s="178">
        <v>23169</v>
      </c>
      <c r="M48" s="179"/>
      <c r="N48" s="180"/>
      <c r="O48" s="22">
        <v>23169</v>
      </c>
      <c r="P48" s="32"/>
      <c r="Q48" s="63"/>
      <c r="R48" s="129"/>
      <c r="T48" s="120"/>
      <c r="AC48" s="104"/>
    </row>
    <row r="49" spans="7:29" ht="7.5" customHeight="1" x14ac:dyDescent="0.2">
      <c r="G49" s="62"/>
      <c r="Q49" s="63"/>
      <c r="R49" s="129"/>
      <c r="T49" s="120"/>
      <c r="AC49" s="104"/>
    </row>
    <row r="50" spans="7:29" x14ac:dyDescent="0.2">
      <c r="G50" s="62" t="s">
        <v>49</v>
      </c>
      <c r="Q50" s="63"/>
      <c r="R50" s="129"/>
      <c r="T50" s="120">
        <f>T44/T46*1000000/12</f>
        <v>68.27580895353843</v>
      </c>
      <c r="U50" s="38" t="s">
        <v>114</v>
      </c>
      <c r="AC50" s="104"/>
    </row>
    <row r="51" spans="7:29" ht="18.75" thickBot="1" x14ac:dyDescent="0.3">
      <c r="G51" s="86" t="s">
        <v>50</v>
      </c>
      <c r="H51" s="87"/>
      <c r="I51" s="87"/>
      <c r="J51" s="88"/>
      <c r="K51" s="89"/>
      <c r="L51" s="87"/>
      <c r="M51" s="87"/>
      <c r="N51" s="87"/>
      <c r="O51" s="87"/>
      <c r="P51" s="87"/>
      <c r="Q51" s="90"/>
      <c r="R51" s="129"/>
      <c r="T51" s="120">
        <f>T50/13%*100%</f>
        <v>525.1985304118341</v>
      </c>
      <c r="U51" s="38" t="s">
        <v>115</v>
      </c>
      <c r="AC51" s="104"/>
    </row>
    <row r="52" spans="7:29" s="38" customFormat="1" ht="27" hidden="1" customHeight="1" thickTop="1" x14ac:dyDescent="0.25">
      <c r="J52" s="42"/>
      <c r="K52" s="43"/>
      <c r="Q52" s="43"/>
      <c r="T52" s="55"/>
      <c r="U52" s="105"/>
      <c r="V52" s="105"/>
      <c r="W52" s="105"/>
      <c r="X52" s="105"/>
      <c r="Y52" s="105"/>
      <c r="Z52" s="105"/>
      <c r="AA52" s="105"/>
      <c r="AB52" s="105"/>
      <c r="AC52" s="106"/>
    </row>
    <row r="53" spans="7:29" s="38" customFormat="1" hidden="1" x14ac:dyDescent="0.2">
      <c r="H53" s="44" t="s">
        <v>25</v>
      </c>
      <c r="I53" s="45">
        <v>2E-3</v>
      </c>
    </row>
    <row r="54" spans="7:29" s="38" customFormat="1" hidden="1" x14ac:dyDescent="0.2">
      <c r="H54" s="43" t="s">
        <v>26</v>
      </c>
      <c r="I54" s="46">
        <f>1-J71/(T2*13%*12)</f>
        <v>1.7574710388953085E-2</v>
      </c>
    </row>
    <row r="55" spans="7:29" s="38" customFormat="1" hidden="1" x14ac:dyDescent="0.2">
      <c r="H55" s="43"/>
      <c r="I55" s="46"/>
      <c r="J55" s="38">
        <f>852.21+142.005*98.6%+3.093+1.243+0.312+0.12+0.089+3.151+1.598+0.551+0.237+0.196+14.557+10.25+2.986+1.043+0.509</f>
        <v>1032.1619300000002</v>
      </c>
      <c r="K55" s="38" t="s">
        <v>118</v>
      </c>
    </row>
    <row r="56" spans="7:29" s="38" customFormat="1" hidden="1" x14ac:dyDescent="0.2">
      <c r="J56" s="38">
        <f>J55/T6</f>
        <v>0.83158389461811166</v>
      </c>
      <c r="K56" s="38" t="s">
        <v>55</v>
      </c>
      <c r="O56" s="38">
        <f>J71*T6/1000</f>
        <v>99085.152871639977</v>
      </c>
    </row>
    <row r="57" spans="7:29" s="38" customFormat="1" ht="39.75" hidden="1" customHeight="1" x14ac:dyDescent="0.2">
      <c r="H57" s="146" t="s">
        <v>27</v>
      </c>
      <c r="I57" s="147"/>
      <c r="J57" s="47">
        <f>1400*J56</f>
        <v>1164.2174524653562</v>
      </c>
      <c r="K57" s="38" t="s">
        <v>54</v>
      </c>
      <c r="U57" s="155" t="s">
        <v>63</v>
      </c>
      <c r="V57" s="155"/>
      <c r="W57" s="155"/>
      <c r="X57" s="155"/>
      <c r="Y57" s="155"/>
    </row>
    <row r="58" spans="7:29" s="38" customFormat="1" ht="25.5" hidden="1" x14ac:dyDescent="0.2">
      <c r="H58" s="48"/>
      <c r="I58" s="49" t="s">
        <v>28</v>
      </c>
      <c r="J58" s="50" t="s">
        <v>29</v>
      </c>
      <c r="O58" s="38">
        <f>J55+142.005+3.093+1.243+0.312+0.12+0.089+3.151+1.598+0.551+0.237+0.196+14.557+10.25+2.986+1.043+0.509</f>
        <v>1214.10193</v>
      </c>
      <c r="U58" s="152" t="s">
        <v>64</v>
      </c>
      <c r="V58" s="154" t="s">
        <v>65</v>
      </c>
      <c r="W58" s="154"/>
      <c r="X58" s="154"/>
      <c r="Y58" s="154"/>
    </row>
    <row r="59" spans="7:29" s="38" customFormat="1" ht="84" hidden="1" x14ac:dyDescent="0.2">
      <c r="H59" s="51" t="s">
        <v>30</v>
      </c>
      <c r="I59" s="52">
        <f t="shared" ref="I59:I69" si="3">$T$2</f>
        <v>52088.6</v>
      </c>
      <c r="J59" s="53">
        <f>IF(I59&lt;$J$57,0,IF(SUM($I$59:I59)&lt;350000,(I59-$J$57)*13%,I59*13%))</f>
        <v>6620.1697311795042</v>
      </c>
      <c r="N59" s="41">
        <f>I10</f>
        <v>115269.85799947999</v>
      </c>
      <c r="U59" s="153"/>
      <c r="V59" s="95" t="s">
        <v>66</v>
      </c>
      <c r="W59" s="95" t="s">
        <v>67</v>
      </c>
      <c r="X59" s="95" t="s">
        <v>68</v>
      </c>
      <c r="Y59" s="95" t="s">
        <v>69</v>
      </c>
    </row>
    <row r="60" spans="7:29" s="38" customFormat="1" ht="38.25" hidden="1" x14ac:dyDescent="0.2">
      <c r="H60" s="51" t="s">
        <v>31</v>
      </c>
      <c r="I60" s="52">
        <f t="shared" si="3"/>
        <v>52088.6</v>
      </c>
      <c r="J60" s="53">
        <f>IF(I60&lt;$J$57,0,IF(SUM($I$59:I60)&lt;350000,(I60-$J$57)*13%,I60*13%))</f>
        <v>6620.1697311795042</v>
      </c>
      <c r="U60" s="96" t="s">
        <v>70</v>
      </c>
      <c r="V60" s="97">
        <v>72228</v>
      </c>
      <c r="W60" s="97">
        <v>335164</v>
      </c>
      <c r="X60" s="98">
        <v>24278.479842858102</v>
      </c>
      <c r="Y60" s="98">
        <v>252523238.33000001</v>
      </c>
    </row>
    <row r="61" spans="7:29" s="38" customFormat="1" hidden="1" x14ac:dyDescent="0.2">
      <c r="H61" s="51" t="s">
        <v>32</v>
      </c>
      <c r="I61" s="52">
        <f t="shared" si="3"/>
        <v>52088.6</v>
      </c>
      <c r="J61" s="53">
        <f>IF(I61&lt;$J$57,0,IF(SUM($I$59:I61)&lt;350000,(I61-$J$57)*13%,I61*13%))</f>
        <v>6620.1697311795042</v>
      </c>
    </row>
    <row r="62" spans="7:29" s="38" customFormat="1" hidden="1" x14ac:dyDescent="0.2">
      <c r="H62" s="51" t="s">
        <v>33</v>
      </c>
      <c r="I62" s="52">
        <f t="shared" si="3"/>
        <v>52088.6</v>
      </c>
      <c r="J62" s="53">
        <f>IF(I62&lt;$J$57,0,IF(SUM($I$59:I62)&lt;350000,(I62-$J$57)*13%,I62*13%))</f>
        <v>6620.1697311795042</v>
      </c>
    </row>
    <row r="63" spans="7:29" s="38" customFormat="1" hidden="1" x14ac:dyDescent="0.2">
      <c r="H63" s="51" t="s">
        <v>34</v>
      </c>
      <c r="I63" s="52">
        <f t="shared" si="3"/>
        <v>52088.6</v>
      </c>
      <c r="J63" s="53">
        <f>IF(I63&lt;$J$57,0,IF(SUM($I$59:I63)&lt;350000,(I63-$J$57)*13%,I63*13%))</f>
        <v>6620.1697311795042</v>
      </c>
    </row>
    <row r="64" spans="7:29" s="38" customFormat="1" hidden="1" x14ac:dyDescent="0.2">
      <c r="H64" s="51" t="s">
        <v>35</v>
      </c>
      <c r="I64" s="52">
        <f t="shared" si="3"/>
        <v>52088.6</v>
      </c>
      <c r="J64" s="53">
        <f>IF(I64&lt;$J$57,0,IF(SUM($I$59:I64)&lt;350000,(I64-$J$57)*13%,I64*13%))</f>
        <v>6620.1697311795042</v>
      </c>
    </row>
    <row r="65" spans="8:25" s="38" customFormat="1" hidden="1" x14ac:dyDescent="0.2">
      <c r="H65" s="51" t="s">
        <v>36</v>
      </c>
      <c r="I65" s="52">
        <f t="shared" si="3"/>
        <v>52088.6</v>
      </c>
      <c r="J65" s="53">
        <f>IF(I65&lt;$J$57,0,IF(SUM($I$59:I65)&lt;350000,(I65-$J$57)*13%,I65*13%))</f>
        <v>6771.518</v>
      </c>
    </row>
    <row r="66" spans="8:25" s="38" customFormat="1" hidden="1" x14ac:dyDescent="0.2">
      <c r="H66" s="51" t="s">
        <v>37</v>
      </c>
      <c r="I66" s="52">
        <f t="shared" si="3"/>
        <v>52088.6</v>
      </c>
      <c r="J66" s="53">
        <f>IF(I66&lt;$J$57,0,IF(SUM($I$59:I66)&lt;350000,(I66-$J$57)*13%,I66*13%))</f>
        <v>6771.518</v>
      </c>
    </row>
    <row r="67" spans="8:25" s="38" customFormat="1" hidden="1" x14ac:dyDescent="0.2">
      <c r="H67" s="51" t="s">
        <v>38</v>
      </c>
      <c r="I67" s="52">
        <f t="shared" si="3"/>
        <v>52088.6</v>
      </c>
      <c r="J67" s="53">
        <f>IF(I67&lt;$J$57,0,IF(SUM($I$59:I67)&lt;350000,(I67-$J$57)*13%,I67*13%))</f>
        <v>6771.518</v>
      </c>
    </row>
    <row r="68" spans="8:25" s="38" customFormat="1" hidden="1" x14ac:dyDescent="0.2">
      <c r="H68" s="51" t="s">
        <v>39</v>
      </c>
      <c r="I68" s="52">
        <f t="shared" si="3"/>
        <v>52088.6</v>
      </c>
      <c r="J68" s="53">
        <f>IF(I68&lt;$J$57,0,IF(SUM($I$59:I68)&lt;350000,(I68-$J$57)*13%,I68*13%))</f>
        <v>6771.518</v>
      </c>
    </row>
    <row r="69" spans="8:25" s="38" customFormat="1" hidden="1" x14ac:dyDescent="0.2">
      <c r="H69" s="51" t="s">
        <v>40</v>
      </c>
      <c r="I69" s="52">
        <f t="shared" si="3"/>
        <v>52088.6</v>
      </c>
      <c r="J69" s="53">
        <f>IF(I69&lt;$J$57,0,IF(SUM($I$59:I69)&lt;350000,(I69-$J$57)*13%,I69*13%))</f>
        <v>6771.518</v>
      </c>
    </row>
    <row r="70" spans="8:25" s="38" customFormat="1" hidden="1" x14ac:dyDescent="0.2">
      <c r="H70" s="51" t="s">
        <v>41</v>
      </c>
      <c r="I70" s="54">
        <f>$T$2-T5</f>
        <v>48088.6</v>
      </c>
      <c r="J70" s="53">
        <f>IF(I70&lt;$J$57,0,IF(SUM($I$59:I70)&lt;350000,(I70-$J$57)*13%,I70*13%))</f>
        <v>6251.518</v>
      </c>
    </row>
    <row r="71" spans="8:25" s="38" customFormat="1" hidden="1" x14ac:dyDescent="0.2">
      <c r="H71" s="55"/>
      <c r="I71" s="56">
        <f>I59*12*13%</f>
        <v>81258.216</v>
      </c>
      <c r="J71" s="57">
        <f>SUM(J59:J70)</f>
        <v>79830.126387077005</v>
      </c>
      <c r="K71" s="38">
        <f>J71/I71</f>
        <v>0.98242528961104691</v>
      </c>
    </row>
    <row r="72" spans="8:25" s="38" customFormat="1" hidden="1" x14ac:dyDescent="0.2"/>
    <row r="73" spans="8:25" s="38" customFormat="1" hidden="1" x14ac:dyDescent="0.2">
      <c r="H73" s="41">
        <f>I10</f>
        <v>115269.85799947999</v>
      </c>
      <c r="J73" s="38">
        <f>H73/T6*1000</f>
        <v>92869.689010215909</v>
      </c>
    </row>
    <row r="74" spans="8:25" s="38" customFormat="1" ht="71.25" hidden="1" customHeight="1" x14ac:dyDescent="0.2">
      <c r="H74" s="146" t="s">
        <v>27</v>
      </c>
      <c r="I74" s="147"/>
      <c r="J74" s="47">
        <f>1400*J56</f>
        <v>1164.2174524653562</v>
      </c>
      <c r="K74" s="38" t="s">
        <v>120</v>
      </c>
      <c r="U74" s="109" t="s">
        <v>96</v>
      </c>
      <c r="V74" s="110" t="s">
        <v>97</v>
      </c>
      <c r="W74" s="111" t="s">
        <v>98</v>
      </c>
      <c r="X74" s="112" t="s">
        <v>99</v>
      </c>
      <c r="Y74" s="114">
        <v>321556986.89999998</v>
      </c>
    </row>
    <row r="75" spans="8:25" s="38" customFormat="1" ht="37.5" hidden="1" customHeight="1" x14ac:dyDescent="0.2">
      <c r="H75" s="48"/>
      <c r="I75" s="49" t="s">
        <v>28</v>
      </c>
      <c r="J75" s="50" t="s">
        <v>29</v>
      </c>
      <c r="K75" s="38" t="s">
        <v>125</v>
      </c>
      <c r="U75" s="109" t="s">
        <v>100</v>
      </c>
      <c r="V75" s="110" t="s">
        <v>97</v>
      </c>
      <c r="W75" s="111" t="s">
        <v>98</v>
      </c>
      <c r="X75" s="112" t="s">
        <v>101</v>
      </c>
      <c r="Y75" s="113">
        <v>1433078133.3299999</v>
      </c>
    </row>
    <row r="76" spans="8:25" s="38" customFormat="1" ht="42" hidden="1" customHeight="1" x14ac:dyDescent="0.2">
      <c r="H76" s="51" t="s">
        <v>30</v>
      </c>
      <c r="I76" s="52">
        <f>$T$7</f>
        <v>44934.075000000004</v>
      </c>
      <c r="J76" s="53">
        <f>IF(I76&lt;$J$57,0,IF(SUM($I$76:I76)&lt;350000,(I76-$J$57)*13%,I76*13%))</f>
        <v>5690.0814811795053</v>
      </c>
      <c r="U76" s="109" t="s">
        <v>102</v>
      </c>
      <c r="V76" s="110" t="s">
        <v>97</v>
      </c>
      <c r="W76" s="111" t="s">
        <v>98</v>
      </c>
      <c r="X76" s="112" t="s">
        <v>103</v>
      </c>
      <c r="Y76" s="113">
        <v>1470812634.9100001</v>
      </c>
    </row>
    <row r="77" spans="8:25" s="38" customFormat="1" ht="41.25" hidden="1" customHeight="1" x14ac:dyDescent="0.2">
      <c r="H77" s="51" t="s">
        <v>31</v>
      </c>
      <c r="I77" s="52">
        <f>I76</f>
        <v>44934.075000000004</v>
      </c>
      <c r="J77" s="53">
        <f>IF(I77&lt;$J$57,0,IF(SUM($I$76:I77)&lt;350000,(I77-$J$57)*13%,I77*13%))</f>
        <v>5690.0814811795053</v>
      </c>
      <c r="U77" s="109" t="s">
        <v>104</v>
      </c>
      <c r="V77" s="110" t="s">
        <v>97</v>
      </c>
      <c r="W77" s="111" t="s">
        <v>98</v>
      </c>
      <c r="X77" s="112" t="s">
        <v>105</v>
      </c>
      <c r="Y77" s="113">
        <v>4839287.88</v>
      </c>
    </row>
    <row r="78" spans="8:25" s="38" customFormat="1" ht="42.75" hidden="1" customHeight="1" x14ac:dyDescent="0.2">
      <c r="H78" s="51" t="s">
        <v>32</v>
      </c>
      <c r="I78" s="52">
        <f t="shared" ref="I78:I86" si="4">I77</f>
        <v>44934.075000000004</v>
      </c>
      <c r="J78" s="53">
        <f>IF(I78&lt;$J$57,0,IF(SUM($I$76:I78)&lt;350000,(I78-$J$57)*13%,I78*13%))</f>
        <v>5690.0814811795053</v>
      </c>
      <c r="U78" s="109" t="s">
        <v>106</v>
      </c>
      <c r="V78" s="110" t="s">
        <v>97</v>
      </c>
      <c r="W78" s="111" t="s">
        <v>98</v>
      </c>
      <c r="X78" s="112" t="s">
        <v>107</v>
      </c>
      <c r="Y78" s="113">
        <v>1305942.21</v>
      </c>
    </row>
    <row r="79" spans="8:25" s="38" customFormat="1" ht="31.5" hidden="1" customHeight="1" x14ac:dyDescent="0.2">
      <c r="H79" s="51" t="s">
        <v>33</v>
      </c>
      <c r="I79" s="52">
        <f t="shared" si="4"/>
        <v>44934.075000000004</v>
      </c>
      <c r="J79" s="53">
        <f>IF(I79&lt;$J$57,0,IF(SUM($I$76:I79)&lt;350000,(I79-$J$57)*13%,I79*13%))</f>
        <v>5690.0814811795053</v>
      </c>
      <c r="U79" s="109" t="s">
        <v>108</v>
      </c>
      <c r="V79" s="110" t="s">
        <v>97</v>
      </c>
      <c r="W79" s="111" t="s">
        <v>98</v>
      </c>
      <c r="X79" s="112" t="s">
        <v>109</v>
      </c>
      <c r="Y79" s="113">
        <v>38298373.329999998</v>
      </c>
    </row>
    <row r="80" spans="8:25" s="38" customFormat="1" ht="33.75" hidden="1" customHeight="1" x14ac:dyDescent="0.2">
      <c r="H80" s="51" t="s">
        <v>34</v>
      </c>
      <c r="I80" s="52">
        <f t="shared" si="4"/>
        <v>44934.075000000004</v>
      </c>
      <c r="J80" s="53">
        <f>IF(I80&lt;$J$57,0,IF(SUM($I$76:I80)&lt;350000,(I80-$J$57)*13%,I80*13%))</f>
        <v>5690.0814811795053</v>
      </c>
      <c r="U80" s="109" t="s">
        <v>110</v>
      </c>
      <c r="V80" s="110" t="s">
        <v>97</v>
      </c>
      <c r="W80" s="111" t="s">
        <v>98</v>
      </c>
      <c r="X80" s="112" t="s">
        <v>111</v>
      </c>
      <c r="Y80" s="113">
        <v>8047161.7000000002</v>
      </c>
    </row>
    <row r="81" spans="8:10" s="38" customFormat="1" hidden="1" x14ac:dyDescent="0.2">
      <c r="H81" s="51" t="s">
        <v>35</v>
      </c>
      <c r="I81" s="52">
        <f t="shared" si="4"/>
        <v>44934.075000000004</v>
      </c>
      <c r="J81" s="53">
        <f>IF(I81&lt;$J$57,0,IF(SUM($I$76:I81)&lt;350000,(I81-$J$57)*13%,I81*13%))</f>
        <v>5690.0814811795053</v>
      </c>
    </row>
    <row r="82" spans="8:10" s="38" customFormat="1" hidden="1" x14ac:dyDescent="0.2">
      <c r="H82" s="51" t="s">
        <v>36</v>
      </c>
      <c r="I82" s="52">
        <f t="shared" si="4"/>
        <v>44934.075000000004</v>
      </c>
      <c r="J82" s="53">
        <f>IF(I82&lt;$J$57,0,IF(SUM($I$76:I82)&lt;350000,(I82-$J$57)*13%,I82*13%))</f>
        <v>5690.0814811795053</v>
      </c>
    </row>
    <row r="83" spans="8:10" s="38" customFormat="1" hidden="1" x14ac:dyDescent="0.2">
      <c r="H83" s="51" t="s">
        <v>37</v>
      </c>
      <c r="I83" s="52">
        <f t="shared" si="4"/>
        <v>44934.075000000004</v>
      </c>
      <c r="J83" s="53">
        <f>IF(I83&lt;$J$57,0,IF(SUM($I$76:I83)&lt;350000,(I83-$J$57)*13%,I83*13%))</f>
        <v>5841.4297500000011</v>
      </c>
    </row>
    <row r="84" spans="8:10" s="38" customFormat="1" hidden="1" x14ac:dyDescent="0.2">
      <c r="H84" s="51" t="s">
        <v>38</v>
      </c>
      <c r="I84" s="52">
        <f t="shared" si="4"/>
        <v>44934.075000000004</v>
      </c>
      <c r="J84" s="53">
        <f>IF(I84&lt;$J$57,0,IF(SUM($I$76:I84)&lt;350000,(I84-$J$57)*13%,I84*13%))</f>
        <v>5841.4297500000011</v>
      </c>
    </row>
    <row r="85" spans="8:10" s="38" customFormat="1" hidden="1" x14ac:dyDescent="0.2">
      <c r="H85" s="51" t="s">
        <v>39</v>
      </c>
      <c r="I85" s="52">
        <f t="shared" si="4"/>
        <v>44934.075000000004</v>
      </c>
      <c r="J85" s="53">
        <f>IF(I85&lt;$J$57,0,IF(SUM($I$76:I85)&lt;350000,(I85-$J$57)*13%,I85*13%))</f>
        <v>5841.4297500000011</v>
      </c>
    </row>
    <row r="86" spans="8:10" s="38" customFormat="1" hidden="1" x14ac:dyDescent="0.2">
      <c r="H86" s="51" t="s">
        <v>40</v>
      </c>
      <c r="I86" s="52">
        <f t="shared" si="4"/>
        <v>44934.075000000004</v>
      </c>
      <c r="J86" s="53">
        <f>IF(I86&lt;$J$57,0,IF(SUM($I$76:I86)&lt;350000,(I86-$J$57)*13%,I86*13%))</f>
        <v>5841.4297500000011</v>
      </c>
    </row>
    <row r="87" spans="8:10" s="38" customFormat="1" hidden="1" x14ac:dyDescent="0.2">
      <c r="H87" s="51" t="s">
        <v>41</v>
      </c>
      <c r="I87" s="52">
        <f>I86-T5</f>
        <v>40934.075000000004</v>
      </c>
      <c r="J87" s="53">
        <f>IF(I87&lt;$J$57,0,IF(SUM($I$76:I87)&lt;350000,(I87-$J$57)*13%,I87*13%))</f>
        <v>5321.4297500000011</v>
      </c>
    </row>
    <row r="88" spans="8:10" s="38" customFormat="1" hidden="1" x14ac:dyDescent="0.2">
      <c r="H88" s="55"/>
      <c r="I88" s="56">
        <f>(I76*5+I81*7)*13%</f>
        <v>70097.157000000007</v>
      </c>
      <c r="J88" s="57">
        <f>SUM(J76:J87)</f>
        <v>68517.719118256544</v>
      </c>
    </row>
    <row r="89" spans="8:10" s="38" customFormat="1" hidden="1" x14ac:dyDescent="0.2"/>
    <row r="90" spans="8:10" s="38" customFormat="1" hidden="1" x14ac:dyDescent="0.2">
      <c r="J90" s="38">
        <f>J88*T11/1000</f>
        <v>8046.6308443139496</v>
      </c>
    </row>
    <row r="91" spans="8:10" s="38" customFormat="1" ht="13.5" thickTop="1" x14ac:dyDescent="0.2"/>
    <row r="92" spans="8:10" s="38" customFormat="1" x14ac:dyDescent="0.2"/>
    <row r="93" spans="8:10" s="38" customFormat="1" x14ac:dyDescent="0.2"/>
    <row r="94" spans="8:10" s="38" customFormat="1" x14ac:dyDescent="0.2"/>
    <row r="95" spans="8:10" s="38" customFormat="1" x14ac:dyDescent="0.2"/>
    <row r="96" spans="8:10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</sheetData>
  <mergeCells count="51">
    <mergeCell ref="S30:S31"/>
    <mergeCell ref="R30:R31"/>
    <mergeCell ref="G2:Q2"/>
    <mergeCell ref="L40:N40"/>
    <mergeCell ref="H12:H13"/>
    <mergeCell ref="N16:Q16"/>
    <mergeCell ref="P6:Q6"/>
    <mergeCell ref="P40:Q40"/>
    <mergeCell ref="H29:H32"/>
    <mergeCell ref="P41:Q41"/>
    <mergeCell ref="N35:Q37"/>
    <mergeCell ref="O27:P29"/>
    <mergeCell ref="Q27:Q29"/>
    <mergeCell ref="L7:L20"/>
    <mergeCell ref="O23:P23"/>
    <mergeCell ref="O25:P25"/>
    <mergeCell ref="O30:P32"/>
    <mergeCell ref="N20:O20"/>
    <mergeCell ref="N22:Q22"/>
    <mergeCell ref="Q30:Q32"/>
    <mergeCell ref="H57:I57"/>
    <mergeCell ref="L44:N44"/>
    <mergeCell ref="I44:K44"/>
    <mergeCell ref="L46:N46"/>
    <mergeCell ref="I46:K46"/>
    <mergeCell ref="I45:K45"/>
    <mergeCell ref="L43:N43"/>
    <mergeCell ref="L45:N45"/>
    <mergeCell ref="G47:G48"/>
    <mergeCell ref="L48:N48"/>
    <mergeCell ref="I29:I32"/>
    <mergeCell ref="L21:L35"/>
    <mergeCell ref="L41:N41"/>
    <mergeCell ref="I40:K40"/>
    <mergeCell ref="I43:K43"/>
    <mergeCell ref="H74:I74"/>
    <mergeCell ref="AD29:AD30"/>
    <mergeCell ref="T28:T29"/>
    <mergeCell ref="U28:W29"/>
    <mergeCell ref="T30:T31"/>
    <mergeCell ref="U58:U59"/>
    <mergeCell ref="V58:Y58"/>
    <mergeCell ref="U57:Y57"/>
    <mergeCell ref="P42:Q42"/>
    <mergeCell ref="P44:Q44"/>
    <mergeCell ref="P46:Q46"/>
    <mergeCell ref="P43:Q43"/>
    <mergeCell ref="P45:Q45"/>
    <mergeCell ref="I42:K42"/>
    <mergeCell ref="L42:N42"/>
    <mergeCell ref="I41:K41"/>
  </mergeCells>
  <phoneticPr fontId="0" type="noConversion"/>
  <printOptions horizontalCentered="1"/>
  <pageMargins left="0.18" right="0.17" top="0.25" bottom="0.2" header="0.19" footer="0.17"/>
  <pageSetup paperSize="9" scale="9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N196"/>
  <sheetViews>
    <sheetView topLeftCell="F2" workbookViewId="0">
      <selection activeCell="T8" sqref="T8"/>
    </sheetView>
  </sheetViews>
  <sheetFormatPr defaultColWidth="9.1640625" defaultRowHeight="12.75" x14ac:dyDescent="0.2"/>
  <cols>
    <col min="1" max="6" width="9.1640625" style="38"/>
    <col min="7" max="7" width="18.83203125" style="2" customWidth="1"/>
    <col min="8" max="8" width="35.33203125" style="2" customWidth="1"/>
    <col min="9" max="9" width="13.83203125" style="2" customWidth="1"/>
    <col min="10" max="10" width="11.83203125" style="2" customWidth="1"/>
    <col min="11" max="11" width="5.5" style="2" customWidth="1"/>
    <col min="12" max="12" width="16.1640625" style="2" customWidth="1"/>
    <col min="13" max="13" width="1.6640625" style="2" customWidth="1"/>
    <col min="14" max="14" width="14.1640625" style="2" customWidth="1"/>
    <col min="15" max="15" width="36.5" style="2" customWidth="1"/>
    <col min="16" max="16" width="7.83203125" style="2" customWidth="1"/>
    <col min="17" max="17" width="14" style="2" customWidth="1"/>
    <col min="18" max="18" width="15.6640625" style="38" customWidth="1"/>
    <col min="19" max="19" width="13.1640625" style="38" customWidth="1"/>
    <col min="20" max="20" width="15" style="38" customWidth="1"/>
    <col min="21" max="21" width="11" style="38" customWidth="1"/>
    <col min="22" max="22" width="9.1640625" style="38" customWidth="1"/>
    <col min="23" max="23" width="12.83203125" style="38" customWidth="1"/>
    <col min="24" max="28" width="9.1640625" style="38" customWidth="1"/>
    <col min="29" max="29" width="10.5" style="38" customWidth="1"/>
    <col min="30" max="30" width="14.1640625" style="38" customWidth="1"/>
    <col min="31" max="32" width="10.5" style="38" customWidth="1"/>
    <col min="33" max="34" width="9.1640625" style="38" customWidth="1"/>
    <col min="35" max="66" width="9.1640625" style="38"/>
    <col min="67" max="16384" width="9.1640625" style="2"/>
  </cols>
  <sheetData>
    <row r="1" spans="7:66" ht="15" hidden="1" customHeight="1" x14ac:dyDescent="0.25">
      <c r="Q1" s="2" t="s">
        <v>0</v>
      </c>
      <c r="R1" s="37"/>
    </row>
    <row r="2" spans="7:66" ht="16.5" thickTop="1" x14ac:dyDescent="0.25">
      <c r="G2" s="218" t="s">
        <v>1</v>
      </c>
      <c r="H2" s="219"/>
      <c r="I2" s="219"/>
      <c r="J2" s="219"/>
      <c r="K2" s="219"/>
      <c r="L2" s="219"/>
      <c r="M2" s="219"/>
      <c r="N2" s="219"/>
      <c r="O2" s="219"/>
      <c r="P2" s="219"/>
      <c r="Q2" s="220"/>
      <c r="R2" s="129"/>
      <c r="T2" s="141">
        <f>'Консолид_бюджет(текущ)'!Q23</f>
        <v>52088.6</v>
      </c>
      <c r="U2" s="116" t="s">
        <v>75</v>
      </c>
      <c r="V2" s="102"/>
      <c r="W2" s="102"/>
      <c r="X2" s="102"/>
      <c r="Y2" s="102"/>
      <c r="Z2" s="102"/>
      <c r="AA2" s="103"/>
    </row>
    <row r="3" spans="7:66" ht="12.75" hidden="1" customHeight="1" x14ac:dyDescent="0.2">
      <c r="G3" s="60"/>
      <c r="H3" s="118"/>
      <c r="I3" s="118"/>
      <c r="J3" s="118"/>
      <c r="K3" s="118"/>
      <c r="N3" s="118"/>
      <c r="O3" s="4"/>
      <c r="P3" s="4"/>
      <c r="Q3" s="61"/>
      <c r="R3" s="129"/>
      <c r="S3" s="39"/>
      <c r="T3" s="120"/>
      <c r="AA3" s="104"/>
    </row>
    <row r="4" spans="7:66" ht="3.75" hidden="1" customHeight="1" x14ac:dyDescent="0.2">
      <c r="G4" s="62"/>
      <c r="Q4" s="63"/>
      <c r="R4" s="129"/>
      <c r="T4" s="120"/>
      <c r="AA4" s="104"/>
    </row>
    <row r="5" spans="7:66" ht="13.5" customHeight="1" x14ac:dyDescent="0.25">
      <c r="G5" s="64"/>
      <c r="H5" s="4"/>
      <c r="J5" s="5"/>
      <c r="Q5" s="65"/>
      <c r="R5" s="129"/>
      <c r="T5" s="121">
        <v>4000</v>
      </c>
      <c r="U5" s="105" t="s">
        <v>117</v>
      </c>
      <c r="V5" s="105"/>
      <c r="W5" s="105"/>
      <c r="X5" s="105"/>
      <c r="Y5" s="105"/>
      <c r="Z5" s="105"/>
      <c r="AA5" s="106"/>
      <c r="AB5" s="38">
        <f>T2*T6*12/1000</f>
        <v>775828.44384000008</v>
      </c>
    </row>
    <row r="6" spans="7:66" ht="36" customHeight="1" x14ac:dyDescent="0.2">
      <c r="G6" s="62"/>
      <c r="J6" s="1"/>
      <c r="P6" s="225" t="s">
        <v>74</v>
      </c>
      <c r="Q6" s="226"/>
      <c r="R6" s="129"/>
      <c r="T6" s="134">
        <f>'Консолид_бюджет(текущ)'!Q25</f>
        <v>1241.2</v>
      </c>
      <c r="U6" s="131" t="s">
        <v>126</v>
      </c>
      <c r="V6" s="131"/>
      <c r="W6" s="131"/>
      <c r="X6" s="131"/>
      <c r="Y6" s="131"/>
      <c r="Z6" s="131"/>
      <c r="AA6" s="131"/>
      <c r="AB6" s="93"/>
      <c r="AC6" s="93"/>
      <c r="AD6" s="93"/>
      <c r="AF6" s="93"/>
      <c r="AH6" s="93"/>
      <c r="AJ6" s="93"/>
      <c r="AL6" s="93"/>
      <c r="AN6" s="93"/>
      <c r="AP6" s="93"/>
      <c r="AR6" s="93"/>
      <c r="AT6" s="93"/>
      <c r="AV6" s="93"/>
      <c r="AX6" s="93"/>
      <c r="AZ6" s="93"/>
      <c r="BB6" s="93"/>
      <c r="BD6" s="93"/>
      <c r="BF6" s="93"/>
      <c r="BH6" s="93"/>
      <c r="BJ6" s="93"/>
      <c r="BL6" s="93"/>
      <c r="BN6" s="93"/>
    </row>
    <row r="7" spans="7:66" ht="12.75" customHeight="1" x14ac:dyDescent="0.25">
      <c r="G7" s="62"/>
      <c r="L7" s="206" t="s">
        <v>3</v>
      </c>
      <c r="N7" s="6" t="s">
        <v>4</v>
      </c>
      <c r="O7" s="6"/>
      <c r="P7" s="6"/>
      <c r="Q7" s="66">
        <f>SUM(Q9:Q13)</f>
        <v>280762.92980000004</v>
      </c>
      <c r="R7" s="129"/>
      <c r="S7" s="40"/>
      <c r="T7" s="122">
        <f>T2*T8</f>
        <v>44934.075000000004</v>
      </c>
      <c r="U7" s="102" t="s">
        <v>123</v>
      </c>
      <c r="V7" s="102"/>
      <c r="W7" s="102"/>
      <c r="X7" s="102"/>
      <c r="Y7" s="102"/>
      <c r="Z7" s="102"/>
      <c r="AA7" s="107"/>
      <c r="AB7" s="93"/>
      <c r="AC7" s="93"/>
      <c r="AD7" s="93"/>
      <c r="AF7" s="93"/>
      <c r="AH7" s="93"/>
      <c r="AJ7" s="93"/>
      <c r="AL7" s="93"/>
      <c r="AN7" s="93"/>
      <c r="AP7" s="93"/>
      <c r="AR7" s="93"/>
      <c r="AT7" s="93"/>
      <c r="AV7" s="93"/>
      <c r="AX7" s="93"/>
      <c r="AZ7" s="93"/>
      <c r="BB7" s="93"/>
      <c r="BD7" s="93"/>
      <c r="BF7" s="93"/>
      <c r="BH7" s="93"/>
      <c r="BJ7" s="93"/>
      <c r="BL7" s="93"/>
      <c r="BN7" s="93"/>
    </row>
    <row r="8" spans="7:66" ht="12.75" customHeight="1" x14ac:dyDescent="0.2">
      <c r="G8" s="67"/>
      <c r="I8" s="2" t="s">
        <v>2</v>
      </c>
      <c r="L8" s="206"/>
      <c r="N8" s="2" t="s">
        <v>5</v>
      </c>
      <c r="Q8" s="63"/>
      <c r="R8" s="129"/>
      <c r="S8" s="43"/>
      <c r="T8" s="124">
        <v>0.86264700913443648</v>
      </c>
      <c r="U8" s="105" t="s">
        <v>122</v>
      </c>
      <c r="V8" s="105"/>
      <c r="W8" s="105"/>
      <c r="X8" s="105">
        <f>AF25/T2</f>
        <v>0.86264700913443648</v>
      </c>
      <c r="Y8" s="142"/>
      <c r="Z8" s="43"/>
      <c r="AA8" s="108"/>
      <c r="AB8" s="93"/>
      <c r="AC8" s="93"/>
      <c r="AD8" s="93"/>
      <c r="AF8" s="93"/>
      <c r="AH8" s="93"/>
      <c r="AJ8" s="93"/>
      <c r="AL8" s="93"/>
      <c r="AN8" s="93"/>
      <c r="AP8" s="93"/>
      <c r="AR8" s="93"/>
      <c r="AT8" s="93"/>
      <c r="AV8" s="93"/>
      <c r="AX8" s="93"/>
      <c r="AZ8" s="93"/>
      <c r="BB8" s="93"/>
      <c r="BD8" s="93"/>
      <c r="BF8" s="93"/>
      <c r="BH8" s="93"/>
      <c r="BJ8" s="93"/>
      <c r="BL8" s="93"/>
      <c r="BN8" s="93"/>
    </row>
    <row r="9" spans="7:66" ht="15" x14ac:dyDescent="0.25">
      <c r="G9" s="68" t="s">
        <v>6</v>
      </c>
      <c r="L9" s="206"/>
      <c r="N9" s="9" t="s">
        <v>7</v>
      </c>
      <c r="O9" s="9"/>
      <c r="P9" s="9"/>
      <c r="Q9" s="69">
        <f>'Консолид_бюджет(текущ)'!Q9</f>
        <v>140718.15400000001</v>
      </c>
      <c r="R9" s="129"/>
      <c r="T9" s="123">
        <v>394</v>
      </c>
      <c r="U9" s="38" t="s">
        <v>89</v>
      </c>
      <c r="Z9" s="43"/>
      <c r="AA9" s="108"/>
      <c r="AB9" s="93"/>
      <c r="AD9" s="93"/>
      <c r="AE9" s="93"/>
      <c r="AF9" s="93"/>
      <c r="AH9" s="93"/>
      <c r="AJ9" s="93"/>
      <c r="AL9" s="93"/>
      <c r="AN9" s="93"/>
      <c r="AP9" s="93"/>
      <c r="AR9" s="93"/>
      <c r="AT9" s="93"/>
      <c r="AV9" s="93"/>
      <c r="AX9" s="93"/>
      <c r="AZ9" s="93"/>
      <c r="BB9" s="93"/>
      <c r="BD9" s="93"/>
      <c r="BF9" s="93"/>
      <c r="BH9" s="93"/>
      <c r="BJ9" s="93"/>
      <c r="BL9" s="93"/>
      <c r="BN9" s="93"/>
    </row>
    <row r="10" spans="7:66" ht="15" x14ac:dyDescent="0.25">
      <c r="G10" s="70"/>
      <c r="H10" s="6" t="s">
        <v>8</v>
      </c>
      <c r="I10" s="10">
        <f>((J71*T6+T11*J88)*T17/1000+T2*T42*15%*T37*12/1000000+T51*13%*T46*12/1000000)</f>
        <v>115269.85799947999</v>
      </c>
      <c r="L10" s="206"/>
      <c r="N10" s="9" t="s">
        <v>71</v>
      </c>
      <c r="O10" s="9"/>
      <c r="P10" s="9"/>
      <c r="Q10" s="69">
        <f>'Консолид_бюджет(текущ)'!Q10</f>
        <v>43180.132700000002</v>
      </c>
      <c r="R10" s="129"/>
      <c r="T10" s="123">
        <v>98.861000000000004</v>
      </c>
      <c r="U10" s="38" t="s">
        <v>94</v>
      </c>
      <c r="AA10" s="108"/>
      <c r="AB10" s="93" t="s">
        <v>77</v>
      </c>
      <c r="AC10" s="99">
        <v>55575</v>
      </c>
      <c r="AD10" s="38" t="s">
        <v>78</v>
      </c>
      <c r="AE10" s="99">
        <v>66018.5</v>
      </c>
      <c r="AF10" s="93" t="s">
        <v>79</v>
      </c>
      <c r="AH10" s="93"/>
      <c r="AJ10" s="93"/>
      <c r="AL10" s="93"/>
      <c r="AN10" s="93"/>
      <c r="AP10" s="93"/>
      <c r="AR10" s="93"/>
      <c r="AT10" s="93"/>
      <c r="AV10" s="93"/>
      <c r="AX10" s="93"/>
      <c r="AZ10" s="93"/>
      <c r="BB10" s="93"/>
      <c r="BD10" s="93"/>
      <c r="BF10" s="93"/>
      <c r="BH10" s="93"/>
      <c r="BJ10" s="93"/>
      <c r="BL10" s="93"/>
      <c r="BN10" s="93"/>
    </row>
    <row r="11" spans="7:66" ht="13.5" x14ac:dyDescent="0.25">
      <c r="G11" s="70"/>
      <c r="H11" s="6"/>
      <c r="I11" s="10"/>
      <c r="L11" s="206"/>
      <c r="N11" s="9" t="s">
        <v>72</v>
      </c>
      <c r="O11" s="9"/>
      <c r="P11" s="9"/>
      <c r="Q11" s="69">
        <f>'Консолид_бюджет(текущ)'!Q11</f>
        <v>14588.1214</v>
      </c>
      <c r="R11" s="129"/>
      <c r="T11" s="120">
        <f>AE10/AC10*T10</f>
        <v>117.43868517318938</v>
      </c>
      <c r="U11" s="38" t="s">
        <v>119</v>
      </c>
      <c r="AA11" s="108"/>
      <c r="AB11" s="93"/>
      <c r="AC11" s="93"/>
      <c r="AD11" s="93"/>
      <c r="AE11" s="93"/>
      <c r="AF11" s="93"/>
      <c r="AH11" s="93"/>
      <c r="AJ11" s="93"/>
      <c r="AL11" s="93"/>
      <c r="AN11" s="93"/>
      <c r="AP11" s="93"/>
      <c r="AR11" s="93"/>
      <c r="AT11" s="93"/>
      <c r="AV11" s="93"/>
      <c r="AX11" s="93"/>
      <c r="AZ11" s="93"/>
      <c r="BB11" s="93"/>
      <c r="BD11" s="93"/>
      <c r="BF11" s="93"/>
      <c r="BH11" s="93"/>
      <c r="BJ11" s="93"/>
      <c r="BL11" s="93"/>
      <c r="BN11" s="93"/>
    </row>
    <row r="12" spans="7:66" ht="13.5" customHeight="1" x14ac:dyDescent="0.25">
      <c r="G12" s="67"/>
      <c r="H12" s="221" t="s">
        <v>47</v>
      </c>
      <c r="I12" s="8"/>
      <c r="L12" s="206"/>
      <c r="N12" s="9" t="s">
        <v>42</v>
      </c>
      <c r="O12" s="9"/>
      <c r="P12" s="9"/>
      <c r="Q12" s="69">
        <f>'Консолид_бюджет(текущ)'!Q12</f>
        <v>25658.8986</v>
      </c>
      <c r="R12" s="129"/>
      <c r="T12" s="124">
        <f>T10*AF25*12*6%</f>
        <v>3198403.8637740002</v>
      </c>
      <c r="U12" s="105" t="s">
        <v>95</v>
      </c>
      <c r="V12" s="105"/>
      <c r="W12" s="105"/>
      <c r="X12" s="105"/>
      <c r="Y12" s="105"/>
      <c r="Z12" s="105"/>
      <c r="AA12" s="115"/>
      <c r="AB12" s="93"/>
      <c r="AC12" s="93"/>
      <c r="AD12" s="93"/>
      <c r="AF12" s="93" t="s">
        <v>80</v>
      </c>
      <c r="AH12" s="93"/>
      <c r="AJ12" s="93"/>
      <c r="AL12" s="93"/>
      <c r="AN12" s="93"/>
      <c r="AP12" s="93"/>
      <c r="AR12" s="93"/>
      <c r="AT12" s="93"/>
      <c r="AV12" s="93"/>
      <c r="AX12" s="93"/>
      <c r="AZ12" s="93"/>
      <c r="BB12" s="93"/>
      <c r="BD12" s="93"/>
      <c r="BF12" s="93"/>
      <c r="BH12" s="93"/>
      <c r="BJ12" s="93"/>
      <c r="BL12" s="93"/>
      <c r="BN12" s="93"/>
    </row>
    <row r="13" spans="7:66" ht="13.5" customHeight="1" x14ac:dyDescent="0.25">
      <c r="G13" s="70"/>
      <c r="H13" s="221"/>
      <c r="I13" s="10">
        <f>T12/1000+T33/1000</f>
        <v>3214.9325637739998</v>
      </c>
      <c r="L13" s="206"/>
      <c r="N13" s="9" t="s">
        <v>73</v>
      </c>
      <c r="O13" s="9"/>
      <c r="P13" s="9"/>
      <c r="Q13" s="69">
        <f>'Консолид_бюджет(текущ)'!Q13</f>
        <v>56617.623099999997</v>
      </c>
      <c r="R13" s="129"/>
      <c r="T13" s="125"/>
      <c r="AA13" s="93"/>
      <c r="AB13" s="93"/>
      <c r="AC13" s="93"/>
      <c r="AD13" s="93"/>
      <c r="AF13" s="100">
        <v>36862</v>
      </c>
      <c r="AH13" s="93"/>
      <c r="AJ13" s="93"/>
      <c r="AL13" s="93"/>
      <c r="AN13" s="93"/>
      <c r="AP13" s="93"/>
      <c r="AR13" s="93"/>
      <c r="AT13" s="93"/>
      <c r="AV13" s="93"/>
      <c r="AX13" s="93"/>
      <c r="AZ13" s="93"/>
      <c r="BB13" s="93"/>
      <c r="BD13" s="93"/>
      <c r="BF13" s="93"/>
      <c r="BH13" s="93"/>
      <c r="BJ13" s="93"/>
      <c r="BL13" s="93"/>
      <c r="BN13" s="93"/>
    </row>
    <row r="14" spans="7:66" ht="7.5" customHeight="1" x14ac:dyDescent="0.25">
      <c r="G14" s="62"/>
      <c r="H14" s="11"/>
      <c r="I14" s="8"/>
      <c r="L14" s="206"/>
      <c r="N14" s="9"/>
      <c r="O14" s="6"/>
      <c r="P14" s="6"/>
      <c r="Q14" s="71"/>
      <c r="R14" s="129"/>
      <c r="T14" s="125"/>
      <c r="AA14" s="93"/>
      <c r="AB14" s="93"/>
      <c r="AC14" s="93"/>
      <c r="AD14" s="93"/>
      <c r="AF14" s="100">
        <f>AF13</f>
        <v>36862</v>
      </c>
      <c r="AH14" s="93"/>
      <c r="AJ14" s="93"/>
      <c r="AL14" s="93"/>
      <c r="AN14" s="93"/>
      <c r="AP14" s="93"/>
      <c r="AR14" s="93"/>
      <c r="AT14" s="93"/>
      <c r="AV14" s="93"/>
      <c r="AX14" s="93"/>
      <c r="AZ14" s="93"/>
      <c r="BB14" s="93"/>
      <c r="BD14" s="93"/>
      <c r="BF14" s="93"/>
      <c r="BH14" s="93"/>
      <c r="BJ14" s="93"/>
      <c r="BL14" s="93"/>
      <c r="BN14" s="93"/>
    </row>
    <row r="15" spans="7:66" ht="6.75" customHeight="1" x14ac:dyDescent="0.2">
      <c r="G15" s="62"/>
      <c r="H15" s="7"/>
      <c r="I15" s="8"/>
      <c r="L15" s="206"/>
      <c r="Q15" s="63"/>
      <c r="R15" s="129"/>
      <c r="T15" s="125"/>
      <c r="AA15" s="93"/>
      <c r="AB15" s="93"/>
      <c r="AC15" s="93"/>
      <c r="AD15" s="93"/>
      <c r="AF15" s="100">
        <f>AF14</f>
        <v>36862</v>
      </c>
      <c r="AH15" s="93"/>
      <c r="AJ15" s="93"/>
      <c r="AL15" s="93"/>
      <c r="AN15" s="93"/>
      <c r="AP15" s="93"/>
      <c r="AR15" s="93"/>
      <c r="AT15" s="93"/>
      <c r="AV15" s="93"/>
      <c r="AX15" s="93"/>
      <c r="AZ15" s="93"/>
      <c r="BB15" s="93"/>
      <c r="BD15" s="93"/>
      <c r="BF15" s="93"/>
      <c r="BH15" s="93"/>
      <c r="BJ15" s="93"/>
      <c r="BL15" s="93"/>
      <c r="BN15" s="93"/>
    </row>
    <row r="16" spans="7:66" ht="17.25" customHeight="1" thickBot="1" x14ac:dyDescent="0.3">
      <c r="G16" s="70"/>
      <c r="H16" s="5" t="s">
        <v>87</v>
      </c>
      <c r="I16" s="7"/>
      <c r="L16" s="206"/>
      <c r="N16" s="222" t="s">
        <v>56</v>
      </c>
      <c r="O16" s="223"/>
      <c r="P16" s="223"/>
      <c r="Q16" s="224"/>
      <c r="R16" s="129"/>
      <c r="T16" s="122">
        <v>99124</v>
      </c>
      <c r="U16" s="102" t="s">
        <v>121</v>
      </c>
      <c r="V16" s="102"/>
      <c r="W16" s="102"/>
      <c r="X16" s="102"/>
      <c r="Y16" s="102"/>
      <c r="Z16" s="102"/>
      <c r="AA16" s="102"/>
      <c r="AB16" s="103"/>
      <c r="AC16" s="93"/>
      <c r="AD16" s="93"/>
      <c r="AF16" s="100">
        <v>45365</v>
      </c>
      <c r="AH16" s="93"/>
      <c r="AJ16" s="93"/>
      <c r="AL16" s="93"/>
      <c r="AN16" s="93"/>
      <c r="AP16" s="93"/>
      <c r="AR16" s="93"/>
      <c r="AT16" s="93"/>
      <c r="AV16" s="93"/>
      <c r="AX16" s="93"/>
      <c r="AZ16" s="93"/>
      <c r="BB16" s="93"/>
      <c r="BD16" s="93"/>
      <c r="BF16" s="93"/>
      <c r="BH16" s="93"/>
      <c r="BJ16" s="93"/>
      <c r="BL16" s="93"/>
      <c r="BN16" s="93"/>
    </row>
    <row r="17" spans="7:66" ht="14.25" customHeight="1" x14ac:dyDescent="0.25">
      <c r="G17" s="72"/>
      <c r="H17" s="5" t="s">
        <v>88</v>
      </c>
      <c r="I17" s="10">
        <f>T2*(2.9%+5.1%)*12*T6/1000</f>
        <v>62066.275507199978</v>
      </c>
      <c r="L17" s="206"/>
      <c r="N17" s="27"/>
      <c r="O17" s="28" t="s">
        <v>76</v>
      </c>
      <c r="P17" s="28"/>
      <c r="Q17" s="73">
        <f>ROUND(T2,1)</f>
        <v>52088.6</v>
      </c>
      <c r="R17" s="129"/>
      <c r="T17" s="124">
        <v>0.92525296006285551</v>
      </c>
      <c r="U17" s="105" t="s">
        <v>122</v>
      </c>
      <c r="V17" s="105"/>
      <c r="W17" s="105"/>
      <c r="X17" s="105">
        <f>T16/((T6*J71+T11*J88)/1000)</f>
        <v>0.92525296006285551</v>
      </c>
      <c r="Y17" s="105"/>
      <c r="Z17" s="105"/>
      <c r="AA17" s="105"/>
      <c r="AB17" s="106"/>
      <c r="AC17" s="93"/>
      <c r="AD17" s="93"/>
      <c r="AF17" s="100">
        <f t="shared" ref="AF17:AF18" si="0">AF16</f>
        <v>45365</v>
      </c>
      <c r="AH17" s="93"/>
      <c r="AJ17" s="93"/>
      <c r="AL17" s="93"/>
      <c r="AN17" s="93"/>
      <c r="AP17" s="93"/>
      <c r="AR17" s="93"/>
      <c r="AT17" s="93"/>
      <c r="AV17" s="93"/>
      <c r="AX17" s="93"/>
      <c r="AZ17" s="93"/>
      <c r="BB17" s="93"/>
      <c r="BD17" s="93"/>
      <c r="BF17" s="93"/>
      <c r="BH17" s="93"/>
      <c r="BJ17" s="93"/>
      <c r="BL17" s="93"/>
      <c r="BN17" s="93"/>
    </row>
    <row r="18" spans="7:66" ht="3" customHeight="1" x14ac:dyDescent="0.2">
      <c r="G18" s="67"/>
      <c r="H18" s="5"/>
      <c r="L18" s="206"/>
      <c r="N18" s="29"/>
      <c r="Q18" s="74"/>
      <c r="R18" s="129"/>
      <c r="T18" s="126"/>
      <c r="U18" s="102"/>
      <c r="V18" s="102"/>
      <c r="W18" s="102"/>
      <c r="X18" s="102"/>
      <c r="Y18" s="102"/>
      <c r="Z18" s="102"/>
      <c r="AA18" s="102"/>
      <c r="AB18" s="103"/>
      <c r="AD18" s="93"/>
      <c r="AF18" s="100">
        <f t="shared" si="0"/>
        <v>45365</v>
      </c>
      <c r="AH18" s="93"/>
      <c r="AJ18" s="93"/>
      <c r="AL18" s="93"/>
      <c r="AN18" s="93"/>
      <c r="AP18" s="93"/>
      <c r="AR18" s="93"/>
      <c r="AT18" s="93"/>
      <c r="AV18" s="93"/>
      <c r="AX18" s="93"/>
      <c r="AZ18" s="93"/>
      <c r="BB18" s="93"/>
      <c r="BD18" s="93"/>
      <c r="BF18" s="93"/>
      <c r="BH18" s="93"/>
      <c r="BJ18" s="93"/>
      <c r="BL18" s="93"/>
      <c r="BN18" s="93"/>
    </row>
    <row r="19" spans="7:66" ht="15" x14ac:dyDescent="0.25">
      <c r="G19" s="70"/>
      <c r="H19" s="6"/>
      <c r="I19" s="4" t="s">
        <v>9</v>
      </c>
      <c r="J19" s="12">
        <f>I10+I13+I17</f>
        <v>180551.06607045396</v>
      </c>
      <c r="L19" s="206"/>
      <c r="N19" s="29"/>
      <c r="O19" s="13" t="s">
        <v>86</v>
      </c>
      <c r="P19" s="13"/>
      <c r="Q19" s="74">
        <f>ROUND(T6,1)</f>
        <v>1241.2</v>
      </c>
      <c r="R19" s="129"/>
      <c r="T19" s="123">
        <v>241.55799999999999</v>
      </c>
      <c r="U19" s="38" t="s">
        <v>90</v>
      </c>
      <c r="AA19" s="93"/>
      <c r="AB19" s="108"/>
      <c r="AC19" s="93"/>
      <c r="AD19" s="93"/>
      <c r="AF19" s="100">
        <v>44973</v>
      </c>
      <c r="AH19" s="93"/>
      <c r="AJ19" s="93"/>
      <c r="AL19" s="93"/>
      <c r="AN19" s="93"/>
      <c r="AP19" s="93"/>
      <c r="AR19" s="93"/>
      <c r="AT19" s="93"/>
      <c r="AV19" s="93"/>
      <c r="AX19" s="93"/>
      <c r="AZ19" s="93"/>
      <c r="BB19" s="93"/>
      <c r="BD19" s="93"/>
      <c r="BF19" s="93"/>
      <c r="BH19" s="93"/>
      <c r="BJ19" s="93"/>
      <c r="BL19" s="93"/>
      <c r="BN19" s="93"/>
    </row>
    <row r="20" spans="7:66" ht="18" customHeight="1" thickBot="1" x14ac:dyDescent="0.3">
      <c r="G20" s="67"/>
      <c r="H20" s="6"/>
      <c r="I20" s="10"/>
      <c r="J20" s="7"/>
      <c r="L20" s="206"/>
      <c r="N20" s="210" t="s">
        <v>15</v>
      </c>
      <c r="O20" s="211"/>
      <c r="P20" s="30"/>
      <c r="Q20" s="75">
        <f>Q7-J19</f>
        <v>100211.86372954608</v>
      </c>
      <c r="R20" s="129"/>
      <c r="T20" s="120">
        <f>T6+T19</f>
        <v>1482.758</v>
      </c>
      <c r="U20" s="38" t="s">
        <v>61</v>
      </c>
      <c r="AA20" s="93"/>
      <c r="AB20" s="108"/>
      <c r="AC20" s="94"/>
      <c r="AF20" s="100">
        <f t="shared" ref="AF20:AF21" si="1">AF19</f>
        <v>44973</v>
      </c>
    </row>
    <row r="21" spans="7:66" ht="6.75" customHeight="1" x14ac:dyDescent="0.2">
      <c r="G21" s="67"/>
      <c r="H21" s="6"/>
      <c r="L21" s="182" t="s">
        <v>10</v>
      </c>
      <c r="N21" s="6"/>
      <c r="O21" s="6"/>
      <c r="P21" s="6"/>
      <c r="Q21" s="76"/>
      <c r="R21" s="129"/>
      <c r="T21" s="120"/>
      <c r="AB21" s="104"/>
      <c r="AF21" s="100">
        <f t="shared" si="1"/>
        <v>44973</v>
      </c>
    </row>
    <row r="22" spans="7:66" ht="16.5" customHeight="1" x14ac:dyDescent="0.2">
      <c r="G22" s="67"/>
      <c r="H22" s="6" t="s">
        <v>11</v>
      </c>
      <c r="I22" s="58">
        <f>'Консолид_бюджет(текущ)'!I22</f>
        <v>166083.99904143999</v>
      </c>
      <c r="L22" s="183"/>
      <c r="N22" s="132"/>
      <c r="O22" s="132"/>
      <c r="P22" s="132"/>
      <c r="Q22" s="133"/>
      <c r="R22" s="129"/>
      <c r="T22" s="120">
        <v>2431.35</v>
      </c>
      <c r="U22" s="38" t="s">
        <v>81</v>
      </c>
      <c r="AB22" s="104"/>
      <c r="AF22" s="100">
        <v>52536.3</v>
      </c>
    </row>
    <row r="23" spans="7:66" ht="17.25" customHeight="1" x14ac:dyDescent="0.2">
      <c r="G23" s="67"/>
      <c r="H23" s="6" t="s">
        <v>43</v>
      </c>
      <c r="I23" s="58">
        <f>'Консолид_бюджет(текущ)'!I23</f>
        <v>18793.552486085999</v>
      </c>
      <c r="L23" s="183"/>
      <c r="N23" s="132"/>
      <c r="O23" s="204" t="s">
        <v>59</v>
      </c>
      <c r="P23" s="204"/>
      <c r="Q23" s="205">
        <f>'Консолид_бюджет(текущ)'!Q27</f>
        <v>0</v>
      </c>
      <c r="R23" s="129"/>
      <c r="T23" s="124"/>
      <c r="U23" s="105"/>
      <c r="V23" s="105"/>
      <c r="W23" s="105"/>
      <c r="X23" s="105"/>
      <c r="Y23" s="105"/>
      <c r="Z23" s="105"/>
      <c r="AA23" s="105"/>
      <c r="AB23" s="106"/>
      <c r="AF23" s="100">
        <f t="shared" ref="AF23:AF24" si="2">AF22</f>
        <v>52536.3</v>
      </c>
    </row>
    <row r="24" spans="7:66" ht="6.75" customHeight="1" x14ac:dyDescent="0.2">
      <c r="G24" s="67"/>
      <c r="H24" s="6"/>
      <c r="I24" s="58"/>
      <c r="L24" s="183"/>
      <c r="N24" s="132"/>
      <c r="O24" s="204"/>
      <c r="P24" s="204"/>
      <c r="Q24" s="205"/>
      <c r="R24" s="129"/>
      <c r="T24" s="125"/>
      <c r="AF24" s="100">
        <f t="shared" si="2"/>
        <v>52536.3</v>
      </c>
    </row>
    <row r="25" spans="7:66" ht="15" x14ac:dyDescent="0.25">
      <c r="G25" s="67"/>
      <c r="H25" s="6" t="s">
        <v>12</v>
      </c>
      <c r="I25" s="58">
        <f>'Консолид_бюджет(текущ)'!I25</f>
        <v>51630.810465069997</v>
      </c>
      <c r="L25" s="183"/>
      <c r="N25" s="132"/>
      <c r="O25" s="204"/>
      <c r="P25" s="204"/>
      <c r="Q25" s="205"/>
      <c r="R25" s="129"/>
      <c r="T25" s="122">
        <v>275.60199999999998</v>
      </c>
      <c r="U25" s="102" t="s">
        <v>82</v>
      </c>
      <c r="V25" s="102"/>
      <c r="W25" s="102"/>
      <c r="X25" s="103"/>
      <c r="AF25" s="101">
        <f>AVERAGE(AF13:AF24)</f>
        <v>44934.075000000004</v>
      </c>
    </row>
    <row r="26" spans="7:66" ht="6.75" customHeight="1" x14ac:dyDescent="0.2">
      <c r="G26" s="67"/>
      <c r="H26" s="6"/>
      <c r="I26" s="58"/>
      <c r="L26" s="183"/>
      <c r="N26" s="132"/>
      <c r="O26" s="132"/>
      <c r="P26" s="132"/>
      <c r="Q26" s="133"/>
      <c r="R26" s="129"/>
      <c r="T26" s="120"/>
      <c r="X26" s="104"/>
    </row>
    <row r="27" spans="7:66" ht="14.25" customHeight="1" x14ac:dyDescent="0.2">
      <c r="G27" s="79" t="s">
        <v>13</v>
      </c>
      <c r="H27" s="6" t="s">
        <v>14</v>
      </c>
      <c r="I27" s="58">
        <f>'Консолид_бюджет(текущ)'!I27</f>
        <v>42831.928368959998</v>
      </c>
      <c r="L27" s="183"/>
      <c r="N27" s="132"/>
      <c r="O27" s="132" t="s">
        <v>127</v>
      </c>
      <c r="P27" s="132"/>
      <c r="Q27" s="133">
        <f>Q19+T19*Q23</f>
        <v>1241.2</v>
      </c>
      <c r="R27" s="129"/>
      <c r="T27" s="128">
        <v>0.3</v>
      </c>
      <c r="U27" s="38" t="s">
        <v>83</v>
      </c>
      <c r="X27" s="104"/>
    </row>
    <row r="28" spans="7:66" ht="6.75" customHeight="1" x14ac:dyDescent="0.2">
      <c r="G28" s="79"/>
      <c r="H28" s="6"/>
      <c r="I28" s="58"/>
      <c r="L28" s="183"/>
      <c r="N28" s="132"/>
      <c r="O28" s="132"/>
      <c r="P28" s="132"/>
      <c r="Q28" s="133"/>
      <c r="R28" s="129"/>
      <c r="T28" s="150">
        <f>T25*T27</f>
        <v>82.680599999999984</v>
      </c>
      <c r="U28" s="151" t="s">
        <v>84</v>
      </c>
      <c r="V28" s="151"/>
      <c r="W28" s="151"/>
      <c r="X28" s="104"/>
    </row>
    <row r="29" spans="7:66" ht="7.5" customHeight="1" x14ac:dyDescent="0.2">
      <c r="G29" s="67"/>
      <c r="H29" s="221" t="s">
        <v>46</v>
      </c>
      <c r="I29" s="181">
        <f>'Консолид_бюджет(текущ)'!I29</f>
        <v>117.68817423</v>
      </c>
      <c r="L29" s="183"/>
      <c r="N29" s="132"/>
      <c r="O29" s="132"/>
      <c r="P29" s="132"/>
      <c r="Q29" s="133"/>
      <c r="R29" s="129"/>
      <c r="T29" s="150"/>
      <c r="U29" s="151"/>
      <c r="V29" s="151"/>
      <c r="W29" s="151"/>
      <c r="X29" s="104"/>
      <c r="AD29" s="148"/>
    </row>
    <row r="30" spans="7:66" ht="9" customHeight="1" x14ac:dyDescent="0.2">
      <c r="G30" s="67"/>
      <c r="H30" s="221"/>
      <c r="I30" s="181"/>
      <c r="L30" s="183"/>
      <c r="N30" s="132"/>
      <c r="O30" s="132"/>
      <c r="P30" s="132"/>
      <c r="Q30" s="133"/>
      <c r="R30" s="217"/>
      <c r="S30" s="216"/>
      <c r="T30" s="150">
        <f>ROUND(T2/39588.3*26171.08,2)</f>
        <v>34434.79</v>
      </c>
      <c r="X30" s="104"/>
      <c r="AD30" s="149"/>
    </row>
    <row r="31" spans="7:66" ht="9" customHeight="1" x14ac:dyDescent="0.2">
      <c r="G31" s="67"/>
      <c r="H31" s="221"/>
      <c r="I31" s="181"/>
      <c r="L31" s="183"/>
      <c r="N31" s="132"/>
      <c r="O31" s="132"/>
      <c r="P31" s="132"/>
      <c r="Q31" s="133"/>
      <c r="R31" s="217"/>
      <c r="S31" s="216"/>
      <c r="T31" s="150"/>
      <c r="U31" s="38" t="s">
        <v>85</v>
      </c>
      <c r="X31" s="104"/>
    </row>
    <row r="32" spans="7:66" ht="9" customHeight="1" x14ac:dyDescent="0.2">
      <c r="G32" s="67"/>
      <c r="H32" s="221"/>
      <c r="I32" s="181"/>
      <c r="L32" s="183"/>
      <c r="N32" s="132"/>
      <c r="O32" s="132"/>
      <c r="P32" s="132"/>
      <c r="Q32" s="133"/>
      <c r="R32" s="129"/>
      <c r="T32" s="120"/>
      <c r="X32" s="104"/>
    </row>
    <row r="33" spans="7:29" ht="24.75" customHeight="1" x14ac:dyDescent="0.2">
      <c r="G33" s="67"/>
      <c r="H33" s="36" t="s">
        <v>16</v>
      </c>
      <c r="I33" s="59">
        <f>'Консолид_бюджет(текущ)'!I33</f>
        <v>1366.00190716</v>
      </c>
      <c r="L33" s="183"/>
      <c r="N33" s="132"/>
      <c r="O33" s="132"/>
      <c r="P33" s="132"/>
      <c r="Q33" s="133"/>
      <c r="R33" s="129"/>
      <c r="S33" s="41"/>
      <c r="T33" s="124">
        <f>ROUND(T30*0.04*12,2)</f>
        <v>16528.7</v>
      </c>
      <c r="U33" s="105" t="s">
        <v>95</v>
      </c>
      <c r="V33" s="105"/>
      <c r="W33" s="105"/>
      <c r="X33" s="106"/>
    </row>
    <row r="34" spans="7:29" ht="4.5" customHeight="1" x14ac:dyDescent="0.2">
      <c r="G34" s="67"/>
      <c r="I34" s="8"/>
      <c r="L34" s="183"/>
      <c r="N34" s="132"/>
      <c r="O34" s="132"/>
      <c r="P34" s="132"/>
      <c r="Q34" s="133"/>
      <c r="R34" s="129"/>
      <c r="T34" s="125"/>
    </row>
    <row r="35" spans="7:29" ht="15.75" customHeight="1" x14ac:dyDescent="0.2">
      <c r="G35" s="62"/>
      <c r="I35" s="4" t="s">
        <v>9</v>
      </c>
      <c r="J35" s="12">
        <f>I22+I23+I25+I27+I29+I33</f>
        <v>280823.98044294596</v>
      </c>
      <c r="L35" s="184"/>
      <c r="N35" s="132"/>
      <c r="O35" s="132"/>
      <c r="P35" s="132"/>
      <c r="Q35" s="133"/>
      <c r="R35" s="129"/>
      <c r="T35" s="127">
        <v>1E-3</v>
      </c>
      <c r="U35" s="102" t="s">
        <v>91</v>
      </c>
      <c r="V35" s="102"/>
      <c r="W35" s="102"/>
      <c r="X35" s="102"/>
      <c r="Y35" s="102"/>
      <c r="Z35" s="102"/>
      <c r="AA35" s="102"/>
      <c r="AB35" s="102"/>
      <c r="AC35" s="103"/>
    </row>
    <row r="36" spans="7:29" ht="8.25" customHeight="1" x14ac:dyDescent="0.2">
      <c r="G36" s="62"/>
      <c r="I36" s="8"/>
      <c r="N36" s="132"/>
      <c r="O36" s="132"/>
      <c r="P36" s="132"/>
      <c r="Q36" s="133"/>
      <c r="R36" s="129"/>
      <c r="T36" s="120"/>
      <c r="AC36" s="104"/>
    </row>
    <row r="37" spans="7:29" ht="15.75" customHeight="1" x14ac:dyDescent="0.2">
      <c r="G37" s="62"/>
      <c r="N37" s="132"/>
      <c r="O37" s="132"/>
      <c r="P37" s="132"/>
      <c r="Q37" s="133"/>
      <c r="R37" s="129"/>
      <c r="T37" s="120">
        <f>T6*T35*1000</f>
        <v>1241.2</v>
      </c>
      <c r="U37" s="38" t="s">
        <v>92</v>
      </c>
      <c r="AC37" s="104"/>
    </row>
    <row r="38" spans="7:29" ht="15" x14ac:dyDescent="0.25">
      <c r="G38" s="62"/>
      <c r="Q38" s="63"/>
      <c r="R38" s="129"/>
      <c r="T38" s="123">
        <v>12867.91947922</v>
      </c>
      <c r="U38" s="38" t="s">
        <v>93</v>
      </c>
      <c r="AC38" s="104"/>
    </row>
    <row r="39" spans="7:29" ht="2.25" customHeight="1" x14ac:dyDescent="0.2">
      <c r="G39" s="62"/>
      <c r="H39" s="2" t="s">
        <v>17</v>
      </c>
      <c r="Q39" s="63"/>
      <c r="R39" s="129"/>
      <c r="T39" s="120"/>
      <c r="AC39" s="104"/>
    </row>
    <row r="40" spans="7:29" ht="27" customHeight="1" x14ac:dyDescent="0.2">
      <c r="G40" s="81" t="s">
        <v>18</v>
      </c>
      <c r="H40" s="117" t="s">
        <v>48</v>
      </c>
      <c r="I40" s="188" t="s">
        <v>19</v>
      </c>
      <c r="J40" s="188"/>
      <c r="K40" s="188"/>
      <c r="L40" s="188" t="s">
        <v>20</v>
      </c>
      <c r="M40" s="188"/>
      <c r="N40" s="188"/>
      <c r="O40" s="23" t="s">
        <v>21</v>
      </c>
      <c r="P40" s="227" t="s">
        <v>15</v>
      </c>
      <c r="Q40" s="228"/>
      <c r="R40" s="129"/>
      <c r="T40" s="120">
        <f>T38/T37/12*1000000</f>
        <v>863943.46057712962</v>
      </c>
      <c r="U40" s="38" t="s">
        <v>124</v>
      </c>
      <c r="AC40" s="104"/>
    </row>
    <row r="41" spans="7:29" ht="17.25" customHeight="1" x14ac:dyDescent="0.2">
      <c r="G41" s="82" t="s">
        <v>52</v>
      </c>
      <c r="H41" s="31">
        <f>'Консолид_бюджет(текущ)'!H41</f>
        <v>1241.2</v>
      </c>
      <c r="I41" s="229">
        <f>'Консолид_бюджет(текущ)'!I41:K41</f>
        <v>52088.6</v>
      </c>
      <c r="J41" s="230"/>
      <c r="K41" s="231"/>
      <c r="L41" s="232">
        <f>'Консолид_бюджет(текущ)'!L41:N41</f>
        <v>180551.06607045396</v>
      </c>
      <c r="M41" s="233"/>
      <c r="N41" s="234"/>
      <c r="O41" s="31">
        <f>Q7</f>
        <v>280762.92980000004</v>
      </c>
      <c r="P41" s="200">
        <f>O41-L41</f>
        <v>100211.86372954608</v>
      </c>
      <c r="Q41" s="201"/>
      <c r="R41" s="129"/>
      <c r="T41" s="120">
        <f>T40/15%*100%</f>
        <v>5759623.0705141975</v>
      </c>
      <c r="U41" s="38" t="s">
        <v>116</v>
      </c>
      <c r="AC41" s="104"/>
    </row>
    <row r="42" spans="7:29" x14ac:dyDescent="0.2">
      <c r="G42" s="83" t="s">
        <v>44</v>
      </c>
      <c r="H42" s="25">
        <f>'Подбор численности'!H42</f>
        <v>1982.8</v>
      </c>
      <c r="I42" s="164">
        <f>'Подбор численности'!I42:K42</f>
        <v>52088.6</v>
      </c>
      <c r="J42" s="165"/>
      <c r="K42" s="166"/>
      <c r="L42" s="164">
        <f>'Подбор численности'!L42:N42</f>
        <v>280762.92980024207</v>
      </c>
      <c r="M42" s="167"/>
      <c r="N42" s="166"/>
      <c r="O42" s="25">
        <f>Q7</f>
        <v>280762.92980000004</v>
      </c>
      <c r="P42" s="156">
        <f>O42-L42</f>
        <v>-2.4202745407819748E-7</v>
      </c>
      <c r="Q42" s="157"/>
      <c r="R42" s="129"/>
      <c r="T42" s="124">
        <v>110.57358175328571</v>
      </c>
      <c r="U42" s="105" t="s">
        <v>122</v>
      </c>
      <c r="V42" s="105"/>
      <c r="W42" s="105"/>
      <c r="X42" s="105">
        <f>T41/T2</f>
        <v>110.57358175328571</v>
      </c>
      <c r="Y42" s="105"/>
      <c r="Z42" s="105"/>
      <c r="AA42" s="105"/>
      <c r="AB42" s="105"/>
      <c r="AC42" s="106"/>
    </row>
    <row r="43" spans="7:29" ht="6" customHeight="1" x14ac:dyDescent="0.2">
      <c r="G43" s="84"/>
      <c r="H43" s="24"/>
      <c r="I43" s="162"/>
      <c r="J43" s="171"/>
      <c r="K43" s="172"/>
      <c r="L43" s="162"/>
      <c r="M43" s="171"/>
      <c r="N43" s="172"/>
      <c r="O43" s="24"/>
      <c r="P43" s="162"/>
      <c r="Q43" s="163"/>
      <c r="R43" s="129"/>
      <c r="T43" s="125"/>
    </row>
    <row r="44" spans="7:29" ht="15" x14ac:dyDescent="0.25">
      <c r="G44" s="83" t="s">
        <v>45</v>
      </c>
      <c r="H44" s="25">
        <f>'Подбор зарплаты'!H44</f>
        <v>1241.2</v>
      </c>
      <c r="I44" s="158">
        <f>'Подбор зарплаты'!I44</f>
        <v>81648.694480473467</v>
      </c>
      <c r="J44" s="189"/>
      <c r="K44" s="190"/>
      <c r="L44" s="158">
        <f>'Подбор зарплаты'!L44</f>
        <v>280762.92980287131</v>
      </c>
      <c r="M44" s="189"/>
      <c r="N44" s="190"/>
      <c r="O44" s="25">
        <f>Q7</f>
        <v>280762.92980000004</v>
      </c>
      <c r="P44" s="158">
        <f>O44-L44</f>
        <v>-2.8712674975395203E-6</v>
      </c>
      <c r="Q44" s="159"/>
      <c r="R44" s="129"/>
      <c r="T44" s="122">
        <f>SUM(Y74:Y80)/1000000</f>
        <v>3277.9385202600001</v>
      </c>
      <c r="U44" s="102" t="s">
        <v>112</v>
      </c>
      <c r="V44" s="102"/>
      <c r="W44" s="102"/>
      <c r="X44" s="102"/>
      <c r="Y44" s="102"/>
      <c r="Z44" s="102"/>
      <c r="AA44" s="102"/>
      <c r="AB44" s="102"/>
      <c r="AC44" s="103"/>
    </row>
    <row r="45" spans="7:29" ht="6.75" customHeight="1" x14ac:dyDescent="0.2">
      <c r="G45" s="83"/>
      <c r="H45" s="26"/>
      <c r="I45" s="197"/>
      <c r="J45" s="198"/>
      <c r="K45" s="199"/>
      <c r="L45" s="173"/>
      <c r="M45" s="174"/>
      <c r="N45" s="175"/>
      <c r="O45" s="25"/>
      <c r="P45" s="158"/>
      <c r="Q45" s="159"/>
      <c r="R45" s="129"/>
      <c r="T45" s="120"/>
      <c r="AC45" s="104"/>
    </row>
    <row r="46" spans="7:29" ht="22.5" customHeight="1" x14ac:dyDescent="0.25">
      <c r="G46" s="85" t="s">
        <v>22</v>
      </c>
      <c r="H46" s="136">
        <f>'Подбор "серый рынок"'!H46</f>
        <v>1482.8</v>
      </c>
      <c r="I46" s="194">
        <f>'Подбор "серый рынок"'!I46:K46</f>
        <v>52088.6</v>
      </c>
      <c r="J46" s="195"/>
      <c r="K46" s="196"/>
      <c r="L46" s="191">
        <f>'Подбор "серый рынок"'!L46:N46</f>
        <v>213198.42433353234</v>
      </c>
      <c r="M46" s="192"/>
      <c r="N46" s="193"/>
      <c r="O46" s="137">
        <f>Q7</f>
        <v>280762.92980000004</v>
      </c>
      <c r="P46" s="235">
        <f>O46-L46</f>
        <v>67564.505466467701</v>
      </c>
      <c r="Q46" s="236"/>
      <c r="R46" s="129"/>
      <c r="T46" s="123">
        <v>4000854</v>
      </c>
      <c r="U46" s="38" t="s">
        <v>113</v>
      </c>
      <c r="AC46" s="104"/>
    </row>
    <row r="47" spans="7:29" ht="6.75" hidden="1" customHeight="1" x14ac:dyDescent="0.2">
      <c r="G47" s="176" t="s">
        <v>23</v>
      </c>
      <c r="H47" s="18"/>
      <c r="I47" s="14"/>
      <c r="J47" s="8"/>
      <c r="K47" s="15"/>
      <c r="L47" s="14"/>
      <c r="N47" s="15"/>
      <c r="O47" s="16"/>
      <c r="Q47" s="63"/>
      <c r="R47" s="129"/>
      <c r="T47" s="120"/>
      <c r="AC47" s="104"/>
    </row>
    <row r="48" spans="7:29" ht="43.5" hidden="1" customHeight="1" thickBot="1" x14ac:dyDescent="0.25">
      <c r="G48" s="177"/>
      <c r="H48" s="19">
        <v>1901</v>
      </c>
      <c r="I48" s="20" t="s">
        <v>24</v>
      </c>
      <c r="J48" s="21">
        <v>5060</v>
      </c>
      <c r="K48" s="17"/>
      <c r="L48" s="178">
        <v>23169</v>
      </c>
      <c r="M48" s="179"/>
      <c r="N48" s="180"/>
      <c r="O48" s="22">
        <v>23169</v>
      </c>
      <c r="P48" s="32"/>
      <c r="Q48" s="63"/>
      <c r="R48" s="129"/>
      <c r="T48" s="120"/>
      <c r="AC48" s="104"/>
    </row>
    <row r="49" spans="7:29" ht="7.5" customHeight="1" x14ac:dyDescent="0.2">
      <c r="G49" s="62"/>
      <c r="Q49" s="63"/>
      <c r="R49" s="129"/>
      <c r="T49" s="120"/>
      <c r="AC49" s="104"/>
    </row>
    <row r="50" spans="7:29" x14ac:dyDescent="0.2">
      <c r="G50" s="62" t="s">
        <v>49</v>
      </c>
      <c r="Q50" s="63"/>
      <c r="R50" s="129"/>
      <c r="T50" s="120">
        <f>T44/T46*1000000/12</f>
        <v>68.27580895353843</v>
      </c>
      <c r="U50" s="38" t="s">
        <v>114</v>
      </c>
      <c r="AC50" s="104"/>
    </row>
    <row r="51" spans="7:29" ht="18.75" thickBot="1" x14ac:dyDescent="0.3">
      <c r="G51" s="86" t="s">
        <v>50</v>
      </c>
      <c r="H51" s="87"/>
      <c r="I51" s="87"/>
      <c r="J51" s="88"/>
      <c r="K51" s="89"/>
      <c r="L51" s="87"/>
      <c r="M51" s="87"/>
      <c r="N51" s="87"/>
      <c r="O51" s="87"/>
      <c r="P51" s="87"/>
      <c r="Q51" s="90"/>
      <c r="R51" s="129"/>
      <c r="T51" s="120">
        <f>T50/13%*100%</f>
        <v>525.1985304118341</v>
      </c>
      <c r="U51" s="38" t="s">
        <v>115</v>
      </c>
      <c r="AC51" s="104"/>
    </row>
    <row r="52" spans="7:29" s="38" customFormat="1" ht="27" customHeight="1" thickTop="1" x14ac:dyDescent="0.25">
      <c r="J52" s="42"/>
      <c r="K52" s="43"/>
      <c r="Q52" s="43"/>
      <c r="T52" s="55"/>
      <c r="U52" s="105"/>
      <c r="V52" s="105"/>
      <c r="W52" s="105"/>
      <c r="X52" s="105"/>
      <c r="Y52" s="105"/>
      <c r="Z52" s="105"/>
      <c r="AA52" s="105"/>
      <c r="AB52" s="105"/>
      <c r="AC52" s="106"/>
    </row>
    <row r="53" spans="7:29" s="38" customFormat="1" x14ac:dyDescent="0.2">
      <c r="H53" s="44" t="s">
        <v>25</v>
      </c>
      <c r="I53" s="45">
        <v>2E-3</v>
      </c>
    </row>
    <row r="54" spans="7:29" s="38" customFormat="1" x14ac:dyDescent="0.2">
      <c r="H54" s="43" t="s">
        <v>26</v>
      </c>
      <c r="I54" s="46">
        <f>1-J71/(T2*13%*12)</f>
        <v>1.7574710388953085E-2</v>
      </c>
    </row>
    <row r="55" spans="7:29" s="38" customFormat="1" x14ac:dyDescent="0.2">
      <c r="H55" s="43"/>
      <c r="I55" s="46"/>
      <c r="J55" s="38">
        <f>852.21+142.005*98.6%+3.093+1.243+0.312+0.12+0.089+3.151+1.598+0.551+0.237+0.196+14.557+10.25+2.986+1.043+0.509</f>
        <v>1032.1619300000002</v>
      </c>
      <c r="K55" s="38" t="s">
        <v>118</v>
      </c>
    </row>
    <row r="56" spans="7:29" s="38" customFormat="1" x14ac:dyDescent="0.2">
      <c r="J56" s="38">
        <f>J55/T6</f>
        <v>0.83158389461811166</v>
      </c>
      <c r="K56" s="38" t="s">
        <v>55</v>
      </c>
      <c r="O56" s="38">
        <f>J71*T6/1000</f>
        <v>99085.152871639977</v>
      </c>
    </row>
    <row r="57" spans="7:29" s="38" customFormat="1" ht="39.75" customHeight="1" x14ac:dyDescent="0.2">
      <c r="H57" s="146" t="s">
        <v>27</v>
      </c>
      <c r="I57" s="147"/>
      <c r="J57" s="47">
        <f>1400*J56</f>
        <v>1164.2174524653562</v>
      </c>
      <c r="K57" s="38" t="s">
        <v>54</v>
      </c>
      <c r="U57" s="155" t="s">
        <v>63</v>
      </c>
      <c r="V57" s="155"/>
      <c r="W57" s="155"/>
      <c r="X57" s="155"/>
      <c r="Y57" s="155"/>
    </row>
    <row r="58" spans="7:29" s="38" customFormat="1" ht="25.5" x14ac:dyDescent="0.2">
      <c r="H58" s="48"/>
      <c r="I58" s="49" t="s">
        <v>28</v>
      </c>
      <c r="J58" s="50" t="s">
        <v>29</v>
      </c>
      <c r="O58" s="38">
        <f>J55+142.005+3.093+1.243+0.312+0.12+0.089+3.151+1.598+0.551+0.237+0.196+14.557+10.25+2.986+1.043+0.509</f>
        <v>1214.10193</v>
      </c>
      <c r="U58" s="152" t="s">
        <v>64</v>
      </c>
      <c r="V58" s="154" t="s">
        <v>65</v>
      </c>
      <c r="W58" s="154"/>
      <c r="X58" s="154"/>
      <c r="Y58" s="154"/>
    </row>
    <row r="59" spans="7:29" s="38" customFormat="1" ht="84" x14ac:dyDescent="0.2">
      <c r="H59" s="51" t="s">
        <v>30</v>
      </c>
      <c r="I59" s="52">
        <f>$T$2</f>
        <v>52088.6</v>
      </c>
      <c r="J59" s="53">
        <f>IF(I59&lt;$J$57,0,IF(SUM($I$59:I59)&lt;350000,(I59-$J$57)*13%,I59*13%))</f>
        <v>6620.1697311795042</v>
      </c>
      <c r="N59" s="41">
        <f>I10</f>
        <v>115269.85799947999</v>
      </c>
      <c r="U59" s="153"/>
      <c r="V59" s="95" t="s">
        <v>66</v>
      </c>
      <c r="W59" s="95" t="s">
        <v>67</v>
      </c>
      <c r="X59" s="95" t="s">
        <v>68</v>
      </c>
      <c r="Y59" s="95" t="s">
        <v>69</v>
      </c>
    </row>
    <row r="60" spans="7:29" s="38" customFormat="1" ht="38.25" x14ac:dyDescent="0.2">
      <c r="H60" s="51" t="s">
        <v>31</v>
      </c>
      <c r="I60" s="52">
        <f t="shared" ref="I60:I69" si="3">$T$2</f>
        <v>52088.6</v>
      </c>
      <c r="J60" s="53">
        <f>IF(I60&lt;$J$57,0,IF(SUM($I$59:I60)&lt;350000,(I60-$J$57)*13%,I60*13%))</f>
        <v>6620.1697311795042</v>
      </c>
      <c r="U60" s="96" t="s">
        <v>70</v>
      </c>
      <c r="V60" s="97">
        <v>72228</v>
      </c>
      <c r="W60" s="97">
        <v>335164</v>
      </c>
      <c r="X60" s="98">
        <v>24278.479842858102</v>
      </c>
      <c r="Y60" s="98">
        <v>252523238.33000001</v>
      </c>
    </row>
    <row r="61" spans="7:29" s="38" customFormat="1" x14ac:dyDescent="0.2">
      <c r="H61" s="51" t="s">
        <v>32</v>
      </c>
      <c r="I61" s="52">
        <f t="shared" si="3"/>
        <v>52088.6</v>
      </c>
      <c r="J61" s="53">
        <f>IF(I61&lt;$J$57,0,IF(SUM($I$59:I61)&lt;350000,(I61-$J$57)*13%,I61*13%))</f>
        <v>6620.1697311795042</v>
      </c>
    </row>
    <row r="62" spans="7:29" s="38" customFormat="1" x14ac:dyDescent="0.2">
      <c r="H62" s="51" t="s">
        <v>33</v>
      </c>
      <c r="I62" s="52">
        <f t="shared" si="3"/>
        <v>52088.6</v>
      </c>
      <c r="J62" s="53">
        <f>IF(I62&lt;$J$57,0,IF(SUM($I$59:I62)&lt;350000,(I62-$J$57)*13%,I62*13%))</f>
        <v>6620.1697311795042</v>
      </c>
    </row>
    <row r="63" spans="7:29" s="38" customFormat="1" x14ac:dyDescent="0.2">
      <c r="H63" s="51" t="s">
        <v>34</v>
      </c>
      <c r="I63" s="52">
        <f t="shared" si="3"/>
        <v>52088.6</v>
      </c>
      <c r="J63" s="53">
        <f>IF(I63&lt;$J$57,0,IF(SUM($I$59:I63)&lt;350000,(I63-$J$57)*13%,I63*13%))</f>
        <v>6620.1697311795042</v>
      </c>
    </row>
    <row r="64" spans="7:29" s="38" customFormat="1" x14ac:dyDescent="0.2">
      <c r="H64" s="51" t="s">
        <v>35</v>
      </c>
      <c r="I64" s="52">
        <f>$T$2</f>
        <v>52088.6</v>
      </c>
      <c r="J64" s="53">
        <f>IF(I64&lt;$J$57,0,IF(SUM($I$59:I64)&lt;350000,(I64-$J$57)*13%,I64*13%))</f>
        <v>6620.1697311795042</v>
      </c>
      <c r="Q64" s="38">
        <v>2019</v>
      </c>
      <c r="T64" s="38">
        <v>337044086</v>
      </c>
    </row>
    <row r="65" spans="8:25" s="38" customFormat="1" x14ac:dyDescent="0.2">
      <c r="H65" s="51" t="s">
        <v>36</v>
      </c>
      <c r="I65" s="52">
        <f t="shared" si="3"/>
        <v>52088.6</v>
      </c>
      <c r="J65" s="53">
        <f>IF(I65&lt;$J$57,0,IF(SUM($I$59:I65)&lt;350000,(I65-$J$57)*13%,I65*13%))</f>
        <v>6771.518</v>
      </c>
      <c r="T65" s="38">
        <f>98842099.9+16482539.2+25149811.6+40868273.1+8108859.2+1854912.6</f>
        <v>191306495.59999999</v>
      </c>
    </row>
    <row r="66" spans="8:25" s="38" customFormat="1" x14ac:dyDescent="0.2">
      <c r="H66" s="51" t="s">
        <v>37</v>
      </c>
      <c r="I66" s="52">
        <f t="shared" si="3"/>
        <v>52088.6</v>
      </c>
      <c r="J66" s="53">
        <f>IF(I66&lt;$J$57,0,IF(SUM($I$59:I66)&lt;350000,(I66-$J$57)*13%,I66*13%))</f>
        <v>6771.518</v>
      </c>
      <c r="T66" s="38">
        <f>T65/T64*100</f>
        <v>56.760080816252625</v>
      </c>
    </row>
    <row r="67" spans="8:25" s="38" customFormat="1" x14ac:dyDescent="0.2">
      <c r="H67" s="51" t="s">
        <v>38</v>
      </c>
      <c r="I67" s="52">
        <f t="shared" si="3"/>
        <v>52088.6</v>
      </c>
      <c r="J67" s="53">
        <f>IF(I67&lt;$J$57,0,IF(SUM($I$59:I67)&lt;350000,(I67-$J$57)*13%,I67*13%))</f>
        <v>6771.518</v>
      </c>
    </row>
    <row r="68" spans="8:25" s="38" customFormat="1" x14ac:dyDescent="0.2">
      <c r="H68" s="51" t="s">
        <v>39</v>
      </c>
      <c r="I68" s="52">
        <f t="shared" si="3"/>
        <v>52088.6</v>
      </c>
      <c r="J68" s="53">
        <f>IF(I68&lt;$J$57,0,IF(SUM($I$59:I68)&lt;350000,(I68-$J$57)*13%,I68*13%))</f>
        <v>6771.518</v>
      </c>
    </row>
    <row r="69" spans="8:25" s="38" customFormat="1" x14ac:dyDescent="0.2">
      <c r="H69" s="51" t="s">
        <v>40</v>
      </c>
      <c r="I69" s="52">
        <f t="shared" si="3"/>
        <v>52088.6</v>
      </c>
      <c r="J69" s="53">
        <f>IF(I69&lt;$J$57,0,IF(SUM($I$59:I69)&lt;350000,(I69-$J$57)*13%,I69*13%))</f>
        <v>6771.518</v>
      </c>
    </row>
    <row r="70" spans="8:25" s="38" customFormat="1" x14ac:dyDescent="0.2">
      <c r="H70" s="51" t="s">
        <v>41</v>
      </c>
      <c r="I70" s="54">
        <f>$T$2-T5</f>
        <v>48088.6</v>
      </c>
      <c r="J70" s="53">
        <f>IF(I70&lt;$J$57,0,IF(SUM($I$59:I70)&lt;350000,(I70-$J$57)*13%,I70*13%))</f>
        <v>6251.518</v>
      </c>
    </row>
    <row r="71" spans="8:25" s="38" customFormat="1" x14ac:dyDescent="0.2">
      <c r="H71" s="55"/>
      <c r="I71" s="56">
        <f>I59*12*13%</f>
        <v>81258.216</v>
      </c>
      <c r="J71" s="57">
        <f>SUM(J59:J70)</f>
        <v>79830.126387077005</v>
      </c>
      <c r="K71" s="38">
        <f>J71/I71</f>
        <v>0.98242528961104691</v>
      </c>
    </row>
    <row r="72" spans="8:25" s="38" customFormat="1" x14ac:dyDescent="0.2"/>
    <row r="73" spans="8:25" s="38" customFormat="1" x14ac:dyDescent="0.2">
      <c r="H73" s="41">
        <f>I10</f>
        <v>115269.85799947999</v>
      </c>
      <c r="J73" s="38">
        <f>H73/T6*1000</f>
        <v>92869.689010215909</v>
      </c>
    </row>
    <row r="74" spans="8:25" s="38" customFormat="1" ht="71.25" customHeight="1" x14ac:dyDescent="0.2">
      <c r="H74" s="146" t="s">
        <v>27</v>
      </c>
      <c r="I74" s="147"/>
      <c r="J74" s="47">
        <f>1400*J56</f>
        <v>1164.2174524653562</v>
      </c>
      <c r="K74" s="38" t="s">
        <v>120</v>
      </c>
      <c r="U74" s="109" t="s">
        <v>96</v>
      </c>
      <c r="V74" s="110" t="s">
        <v>97</v>
      </c>
      <c r="W74" s="111" t="s">
        <v>98</v>
      </c>
      <c r="X74" s="112" t="s">
        <v>99</v>
      </c>
      <c r="Y74" s="114">
        <v>321556986.89999998</v>
      </c>
    </row>
    <row r="75" spans="8:25" s="38" customFormat="1" ht="37.5" customHeight="1" x14ac:dyDescent="0.2">
      <c r="H75" s="48"/>
      <c r="I75" s="49" t="s">
        <v>28</v>
      </c>
      <c r="J75" s="50" t="s">
        <v>29</v>
      </c>
      <c r="K75" s="38" t="s">
        <v>125</v>
      </c>
      <c r="U75" s="109" t="s">
        <v>100</v>
      </c>
      <c r="V75" s="110" t="s">
        <v>97</v>
      </c>
      <c r="W75" s="111" t="s">
        <v>98</v>
      </c>
      <c r="X75" s="112" t="s">
        <v>101</v>
      </c>
      <c r="Y75" s="113">
        <v>1433078133.3299999</v>
      </c>
    </row>
    <row r="76" spans="8:25" s="38" customFormat="1" ht="42" customHeight="1" x14ac:dyDescent="0.2">
      <c r="H76" s="51" t="s">
        <v>30</v>
      </c>
      <c r="I76" s="52">
        <f>$T$7</f>
        <v>44934.075000000004</v>
      </c>
      <c r="J76" s="53">
        <f>IF(I76&lt;$J$57,0,IF(SUM($I$76:I76)&lt;350000,(I76-$J$57)*13%,I76*13%))</f>
        <v>5690.0814811795053</v>
      </c>
      <c r="U76" s="109" t="s">
        <v>102</v>
      </c>
      <c r="V76" s="110" t="s">
        <v>97</v>
      </c>
      <c r="W76" s="111" t="s">
        <v>98</v>
      </c>
      <c r="X76" s="112" t="s">
        <v>103</v>
      </c>
      <c r="Y76" s="113">
        <v>1470812634.9100001</v>
      </c>
    </row>
    <row r="77" spans="8:25" s="38" customFormat="1" ht="41.25" customHeight="1" x14ac:dyDescent="0.2">
      <c r="H77" s="51" t="s">
        <v>31</v>
      </c>
      <c r="I77" s="52">
        <f>I76</f>
        <v>44934.075000000004</v>
      </c>
      <c r="J77" s="53">
        <f>IF(I77&lt;$J$57,0,IF(SUM($I$76:I77)&lt;350000,(I77-$J$57)*13%,I77*13%))</f>
        <v>5690.0814811795053</v>
      </c>
      <c r="U77" s="109" t="s">
        <v>104</v>
      </c>
      <c r="V77" s="110" t="s">
        <v>97</v>
      </c>
      <c r="W77" s="111" t="s">
        <v>98</v>
      </c>
      <c r="X77" s="112" t="s">
        <v>105</v>
      </c>
      <c r="Y77" s="113">
        <v>4839287.88</v>
      </c>
    </row>
    <row r="78" spans="8:25" s="38" customFormat="1" ht="42.75" customHeight="1" x14ac:dyDescent="0.2">
      <c r="H78" s="51" t="s">
        <v>32</v>
      </c>
      <c r="I78" s="52">
        <f t="shared" ref="I78:I86" si="4">I77</f>
        <v>44934.075000000004</v>
      </c>
      <c r="J78" s="53">
        <f>IF(I78&lt;$J$57,0,IF(SUM($I$76:I78)&lt;350000,(I78-$J$57)*13%,I78*13%))</f>
        <v>5690.0814811795053</v>
      </c>
      <c r="U78" s="109" t="s">
        <v>106</v>
      </c>
      <c r="V78" s="110" t="s">
        <v>97</v>
      </c>
      <c r="W78" s="111" t="s">
        <v>98</v>
      </c>
      <c r="X78" s="112" t="s">
        <v>107</v>
      </c>
      <c r="Y78" s="113">
        <v>1305942.21</v>
      </c>
    </row>
    <row r="79" spans="8:25" s="38" customFormat="1" ht="31.5" customHeight="1" x14ac:dyDescent="0.2">
      <c r="H79" s="51" t="s">
        <v>33</v>
      </c>
      <c r="I79" s="52">
        <f t="shared" si="4"/>
        <v>44934.075000000004</v>
      </c>
      <c r="J79" s="53">
        <f>IF(I79&lt;$J$57,0,IF(SUM($I$76:I79)&lt;350000,(I79-$J$57)*13%,I79*13%))</f>
        <v>5690.0814811795053</v>
      </c>
      <c r="U79" s="109" t="s">
        <v>108</v>
      </c>
      <c r="V79" s="110" t="s">
        <v>97</v>
      </c>
      <c r="W79" s="111" t="s">
        <v>98</v>
      </c>
      <c r="X79" s="112" t="s">
        <v>109</v>
      </c>
      <c r="Y79" s="113">
        <v>38298373.329999998</v>
      </c>
    </row>
    <row r="80" spans="8:25" s="38" customFormat="1" ht="33.75" customHeight="1" x14ac:dyDescent="0.2">
      <c r="H80" s="51" t="s">
        <v>34</v>
      </c>
      <c r="I80" s="52">
        <f t="shared" si="4"/>
        <v>44934.075000000004</v>
      </c>
      <c r="J80" s="53">
        <f>IF(I80&lt;$J$57,0,IF(SUM($I$76:I80)&lt;350000,(I80-$J$57)*13%,I80*13%))</f>
        <v>5690.0814811795053</v>
      </c>
      <c r="U80" s="109" t="s">
        <v>110</v>
      </c>
      <c r="V80" s="110" t="s">
        <v>97</v>
      </c>
      <c r="W80" s="111" t="s">
        <v>98</v>
      </c>
      <c r="X80" s="112" t="s">
        <v>111</v>
      </c>
      <c r="Y80" s="113">
        <v>8047161.7000000002</v>
      </c>
    </row>
    <row r="81" spans="8:10" s="38" customFormat="1" x14ac:dyDescent="0.2">
      <c r="H81" s="51" t="s">
        <v>35</v>
      </c>
      <c r="I81" s="52">
        <f t="shared" si="4"/>
        <v>44934.075000000004</v>
      </c>
      <c r="J81" s="53">
        <f>IF(I81&lt;$J$57,0,IF(SUM($I$76:I81)&lt;350000,(I81-$J$57)*13%,I81*13%))</f>
        <v>5690.0814811795053</v>
      </c>
    </row>
    <row r="82" spans="8:10" s="38" customFormat="1" x14ac:dyDescent="0.2">
      <c r="H82" s="51" t="s">
        <v>36</v>
      </c>
      <c r="I82" s="52">
        <f t="shared" si="4"/>
        <v>44934.075000000004</v>
      </c>
      <c r="J82" s="53">
        <f>IF(I82&lt;$J$57,0,IF(SUM($I$76:I82)&lt;350000,(I82-$J$57)*13%,I82*13%))</f>
        <v>5690.0814811795053</v>
      </c>
    </row>
    <row r="83" spans="8:10" s="38" customFormat="1" x14ac:dyDescent="0.2">
      <c r="H83" s="51" t="s">
        <v>37</v>
      </c>
      <c r="I83" s="52">
        <f t="shared" si="4"/>
        <v>44934.075000000004</v>
      </c>
      <c r="J83" s="53">
        <f>IF(I83&lt;$J$57,0,IF(SUM($I$76:I83)&lt;350000,(I83-$J$57)*13%,I83*13%))</f>
        <v>5841.4297500000011</v>
      </c>
    </row>
    <row r="84" spans="8:10" s="38" customFormat="1" x14ac:dyDescent="0.2">
      <c r="H84" s="51" t="s">
        <v>38</v>
      </c>
      <c r="I84" s="52">
        <f t="shared" si="4"/>
        <v>44934.075000000004</v>
      </c>
      <c r="J84" s="53">
        <f>IF(I84&lt;$J$57,0,IF(SUM($I$76:I84)&lt;350000,(I84-$J$57)*13%,I84*13%))</f>
        <v>5841.4297500000011</v>
      </c>
    </row>
    <row r="85" spans="8:10" s="38" customFormat="1" x14ac:dyDescent="0.2">
      <c r="H85" s="51" t="s">
        <v>39</v>
      </c>
      <c r="I85" s="52">
        <f t="shared" si="4"/>
        <v>44934.075000000004</v>
      </c>
      <c r="J85" s="53">
        <f>IF(I85&lt;$J$57,0,IF(SUM($I$76:I85)&lt;350000,(I85-$J$57)*13%,I85*13%))</f>
        <v>5841.4297500000011</v>
      </c>
    </row>
    <row r="86" spans="8:10" s="38" customFormat="1" x14ac:dyDescent="0.2">
      <c r="H86" s="51" t="s">
        <v>40</v>
      </c>
      <c r="I86" s="52">
        <f t="shared" si="4"/>
        <v>44934.075000000004</v>
      </c>
      <c r="J86" s="53">
        <f>IF(I86&lt;$J$57,0,IF(SUM($I$76:I86)&lt;350000,(I86-$J$57)*13%,I86*13%))</f>
        <v>5841.4297500000011</v>
      </c>
    </row>
    <row r="87" spans="8:10" s="38" customFormat="1" x14ac:dyDescent="0.2">
      <c r="H87" s="51" t="s">
        <v>41</v>
      </c>
      <c r="I87" s="52">
        <f>I86-T5</f>
        <v>40934.075000000004</v>
      </c>
      <c r="J87" s="53">
        <f>IF(I87&lt;$J$57,0,IF(SUM($I$76:I87)&lt;350000,(I87-$J$57)*13%,I87*13%))</f>
        <v>5321.4297500000011</v>
      </c>
    </row>
    <row r="88" spans="8:10" s="38" customFormat="1" x14ac:dyDescent="0.2">
      <c r="H88" s="55"/>
      <c r="I88" s="56">
        <f>(I76*5+I81*7)*13%</f>
        <v>70097.157000000007</v>
      </c>
      <c r="J88" s="57">
        <f>SUM(J76:J87)</f>
        <v>68517.719118256544</v>
      </c>
    </row>
    <row r="89" spans="8:10" s="38" customFormat="1" x14ac:dyDescent="0.2"/>
    <row r="90" spans="8:10" s="38" customFormat="1" x14ac:dyDescent="0.2">
      <c r="J90" s="38">
        <f>J88*T11/1000</f>
        <v>8046.6308443139496</v>
      </c>
    </row>
    <row r="91" spans="8:10" s="38" customFormat="1" x14ac:dyDescent="0.2"/>
    <row r="92" spans="8:10" s="38" customFormat="1" x14ac:dyDescent="0.2"/>
    <row r="93" spans="8:10" s="38" customFormat="1" x14ac:dyDescent="0.2"/>
    <row r="94" spans="8:10" s="38" customFormat="1" x14ac:dyDescent="0.2"/>
    <row r="95" spans="8:10" s="38" customFormat="1" x14ac:dyDescent="0.2"/>
    <row r="96" spans="8:10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</sheetData>
  <mergeCells count="45">
    <mergeCell ref="U57:Y57"/>
    <mergeCell ref="U58:U59"/>
    <mergeCell ref="V58:Y58"/>
    <mergeCell ref="H74:I74"/>
    <mergeCell ref="O23:P25"/>
    <mergeCell ref="Q23:Q25"/>
    <mergeCell ref="I46:K46"/>
    <mergeCell ref="L46:N46"/>
    <mergeCell ref="P46:Q46"/>
    <mergeCell ref="P44:Q44"/>
    <mergeCell ref="P45:Q45"/>
    <mergeCell ref="I42:K42"/>
    <mergeCell ref="L42:N42"/>
    <mergeCell ref="P42:Q42"/>
    <mergeCell ref="I43:K43"/>
    <mergeCell ref="L43:N43"/>
    <mergeCell ref="G47:G48"/>
    <mergeCell ref="L48:N48"/>
    <mergeCell ref="H57:I57"/>
    <mergeCell ref="I44:K44"/>
    <mergeCell ref="L44:N44"/>
    <mergeCell ref="I45:K45"/>
    <mergeCell ref="L45:N45"/>
    <mergeCell ref="P43:Q43"/>
    <mergeCell ref="I40:K40"/>
    <mergeCell ref="L40:N40"/>
    <mergeCell ref="P40:Q40"/>
    <mergeCell ref="I41:K41"/>
    <mergeCell ref="L41:N41"/>
    <mergeCell ref="P41:Q41"/>
    <mergeCell ref="T28:T29"/>
    <mergeCell ref="U28:W29"/>
    <mergeCell ref="H29:H32"/>
    <mergeCell ref="I29:I32"/>
    <mergeCell ref="AD29:AD30"/>
    <mergeCell ref="R30:R31"/>
    <mergeCell ref="S30:S31"/>
    <mergeCell ref="T30:T31"/>
    <mergeCell ref="L21:L35"/>
    <mergeCell ref="G2:Q2"/>
    <mergeCell ref="P6:Q6"/>
    <mergeCell ref="L7:L20"/>
    <mergeCell ref="H12:H13"/>
    <mergeCell ref="N16:Q16"/>
    <mergeCell ref="N20:O20"/>
  </mergeCells>
  <printOptions horizontalCentered="1"/>
  <pageMargins left="0.18" right="0.17" top="0.25" bottom="0.2" header="0.19" footer="0.17"/>
  <pageSetup paperSize="9" scale="9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N196"/>
  <sheetViews>
    <sheetView topLeftCell="F2" workbookViewId="0">
      <selection activeCell="T2" sqref="T2"/>
    </sheetView>
  </sheetViews>
  <sheetFormatPr defaultColWidth="9.1640625" defaultRowHeight="12.75" x14ac:dyDescent="0.2"/>
  <cols>
    <col min="1" max="6" width="9.1640625" style="38"/>
    <col min="7" max="7" width="18.83203125" style="2" customWidth="1"/>
    <col min="8" max="8" width="35.33203125" style="2" customWidth="1"/>
    <col min="9" max="9" width="13.83203125" style="2" customWidth="1"/>
    <col min="10" max="10" width="11.83203125" style="2" customWidth="1"/>
    <col min="11" max="11" width="5.5" style="2" customWidth="1"/>
    <col min="12" max="12" width="16.1640625" style="2" customWidth="1"/>
    <col min="13" max="13" width="1.6640625" style="2" customWidth="1"/>
    <col min="14" max="14" width="14.1640625" style="2" customWidth="1"/>
    <col min="15" max="15" width="36.5" style="2" customWidth="1"/>
    <col min="16" max="16" width="7.83203125" style="2" customWidth="1"/>
    <col min="17" max="17" width="14" style="2" customWidth="1"/>
    <col min="18" max="18" width="15.6640625" style="38" customWidth="1"/>
    <col min="19" max="19" width="13.1640625" style="38" customWidth="1"/>
    <col min="20" max="20" width="15" style="38" customWidth="1"/>
    <col min="21" max="21" width="11" style="38" customWidth="1"/>
    <col min="22" max="22" width="9.1640625" style="38" customWidth="1"/>
    <col min="23" max="23" width="12.83203125" style="38" customWidth="1"/>
    <col min="24" max="28" width="9.1640625" style="38" customWidth="1"/>
    <col min="29" max="29" width="10.5" style="38" customWidth="1"/>
    <col min="30" max="30" width="14.1640625" style="38" customWidth="1"/>
    <col min="31" max="32" width="10.5" style="38" customWidth="1"/>
    <col min="33" max="34" width="9.1640625" style="38" customWidth="1"/>
    <col min="35" max="66" width="9.1640625" style="38"/>
    <col min="67" max="16384" width="9.1640625" style="2"/>
  </cols>
  <sheetData>
    <row r="1" spans="7:66" ht="15" hidden="1" customHeight="1" x14ac:dyDescent="0.25">
      <c r="Q1" s="2" t="s">
        <v>0</v>
      </c>
      <c r="R1" s="37"/>
    </row>
    <row r="2" spans="7:66" ht="16.5" thickTop="1" x14ac:dyDescent="0.25">
      <c r="G2" s="218" t="s">
        <v>1</v>
      </c>
      <c r="H2" s="219"/>
      <c r="I2" s="219"/>
      <c r="J2" s="219"/>
      <c r="K2" s="219"/>
      <c r="L2" s="219"/>
      <c r="M2" s="219"/>
      <c r="N2" s="219"/>
      <c r="O2" s="219"/>
      <c r="P2" s="219"/>
      <c r="Q2" s="220"/>
      <c r="R2" s="129"/>
      <c r="T2" s="141">
        <v>81648.694480473467</v>
      </c>
      <c r="U2" s="116" t="s">
        <v>75</v>
      </c>
      <c r="V2" s="102"/>
      <c r="W2" s="102"/>
      <c r="X2" s="102"/>
      <c r="Y2" s="102"/>
      <c r="Z2" s="102"/>
      <c r="AA2" s="103"/>
    </row>
    <row r="3" spans="7:66" ht="12.75" hidden="1" customHeight="1" x14ac:dyDescent="0.2">
      <c r="G3" s="60"/>
      <c r="H3" s="118"/>
      <c r="I3" s="118"/>
      <c r="J3" s="118"/>
      <c r="K3" s="118"/>
      <c r="N3" s="118"/>
      <c r="O3" s="4"/>
      <c r="P3" s="4"/>
      <c r="Q3" s="61"/>
      <c r="R3" s="129"/>
      <c r="S3" s="39"/>
      <c r="T3" s="120"/>
      <c r="AA3" s="104"/>
    </row>
    <row r="4" spans="7:66" ht="3.75" hidden="1" customHeight="1" x14ac:dyDescent="0.2">
      <c r="G4" s="62"/>
      <c r="Q4" s="63"/>
      <c r="R4" s="129"/>
      <c r="T4" s="120"/>
      <c r="AA4" s="104"/>
    </row>
    <row r="5" spans="7:66" ht="13.5" customHeight="1" x14ac:dyDescent="0.25">
      <c r="G5" s="64"/>
      <c r="H5" s="4"/>
      <c r="J5" s="5"/>
      <c r="Q5" s="65"/>
      <c r="R5" s="129"/>
      <c r="T5" s="121">
        <v>4000</v>
      </c>
      <c r="U5" s="105" t="s">
        <v>117</v>
      </c>
      <c r="V5" s="105"/>
      <c r="W5" s="105"/>
      <c r="X5" s="105"/>
      <c r="Y5" s="105"/>
      <c r="Z5" s="105"/>
      <c r="AA5" s="106"/>
      <c r="AB5" s="38">
        <f>T2*T6*12/1000</f>
        <v>1216108.3150699642</v>
      </c>
    </row>
    <row r="6" spans="7:66" ht="36" customHeight="1" x14ac:dyDescent="0.2">
      <c r="G6" s="62"/>
      <c r="J6" s="1"/>
      <c r="P6" s="225" t="s">
        <v>74</v>
      </c>
      <c r="Q6" s="226"/>
      <c r="R6" s="129"/>
      <c r="T6" s="130">
        <v>1241.2</v>
      </c>
      <c r="U6" s="131" t="s">
        <v>126</v>
      </c>
      <c r="V6" s="131"/>
      <c r="W6" s="131"/>
      <c r="X6" s="131"/>
      <c r="Y6" s="131"/>
      <c r="Z6" s="131"/>
      <c r="AA6" s="131"/>
      <c r="AB6" s="93"/>
      <c r="AC6" s="93"/>
      <c r="AD6" s="93"/>
      <c r="AF6" s="93"/>
      <c r="AH6" s="93"/>
      <c r="AJ6" s="93"/>
      <c r="AL6" s="93"/>
      <c r="AN6" s="93"/>
      <c r="AP6" s="93"/>
      <c r="AR6" s="93"/>
      <c r="AT6" s="93"/>
      <c r="AV6" s="93"/>
      <c r="AX6" s="93"/>
      <c r="AZ6" s="93"/>
      <c r="BB6" s="93"/>
      <c r="BD6" s="93"/>
      <c r="BF6" s="93"/>
      <c r="BH6" s="93"/>
      <c r="BJ6" s="93"/>
      <c r="BL6" s="93"/>
      <c r="BN6" s="93"/>
    </row>
    <row r="7" spans="7:66" ht="12.75" customHeight="1" x14ac:dyDescent="0.25">
      <c r="G7" s="62"/>
      <c r="L7" s="206" t="s">
        <v>3</v>
      </c>
      <c r="N7" s="6" t="s">
        <v>4</v>
      </c>
      <c r="O7" s="6"/>
      <c r="P7" s="6"/>
      <c r="Q7" s="66">
        <f>SUM(Q9:Q13)</f>
        <v>280762.92980000004</v>
      </c>
      <c r="R7" s="129"/>
      <c r="S7" s="40"/>
      <c r="T7" s="122">
        <f>T2*T8</f>
        <v>70434.002093311807</v>
      </c>
      <c r="U7" s="102" t="s">
        <v>123</v>
      </c>
      <c r="V7" s="102"/>
      <c r="W7" s="102"/>
      <c r="X7" s="102"/>
      <c r="Y7" s="102"/>
      <c r="Z7" s="102"/>
      <c r="AA7" s="107"/>
      <c r="AB7" s="93"/>
      <c r="AC7" s="93"/>
      <c r="AD7" s="93"/>
      <c r="AF7" s="93"/>
      <c r="AH7" s="93"/>
      <c r="AJ7" s="93"/>
      <c r="AL7" s="93"/>
      <c r="AN7" s="93"/>
      <c r="AP7" s="93"/>
      <c r="AR7" s="93"/>
      <c r="AT7" s="93"/>
      <c r="AV7" s="93"/>
      <c r="AX7" s="93"/>
      <c r="AZ7" s="93"/>
      <c r="BB7" s="93"/>
      <c r="BD7" s="93"/>
      <c r="BF7" s="93"/>
      <c r="BH7" s="93"/>
      <c r="BJ7" s="93"/>
      <c r="BL7" s="93"/>
      <c r="BN7" s="93"/>
    </row>
    <row r="8" spans="7:66" ht="12.75" customHeight="1" x14ac:dyDescent="0.2">
      <c r="G8" s="67"/>
      <c r="I8" s="2" t="s">
        <v>2</v>
      </c>
      <c r="L8" s="206"/>
      <c r="N8" s="2" t="s">
        <v>5</v>
      </c>
      <c r="Q8" s="63"/>
      <c r="R8" s="129"/>
      <c r="S8" s="43"/>
      <c r="T8" s="124">
        <v>0.86264700913443648</v>
      </c>
      <c r="U8" s="105" t="s">
        <v>122</v>
      </c>
      <c r="V8" s="105"/>
      <c r="W8" s="105"/>
      <c r="X8" s="105">
        <f>AF25/T2</f>
        <v>0.55033427400050006</v>
      </c>
      <c r="Y8" s="142"/>
      <c r="Z8" s="43"/>
      <c r="AA8" s="108"/>
      <c r="AB8" s="93"/>
      <c r="AC8" s="93"/>
      <c r="AD8" s="93"/>
      <c r="AF8" s="93"/>
      <c r="AH8" s="93"/>
      <c r="AJ8" s="93"/>
      <c r="AL8" s="93"/>
      <c r="AN8" s="93"/>
      <c r="AP8" s="93"/>
      <c r="AR8" s="93"/>
      <c r="AT8" s="93"/>
      <c r="AV8" s="93"/>
      <c r="AX8" s="93"/>
      <c r="AZ8" s="93"/>
      <c r="BB8" s="93"/>
      <c r="BD8" s="93"/>
      <c r="BF8" s="93"/>
      <c r="BH8" s="93"/>
      <c r="BJ8" s="93"/>
      <c r="BL8" s="93"/>
      <c r="BN8" s="93"/>
    </row>
    <row r="9" spans="7:66" ht="15" x14ac:dyDescent="0.25">
      <c r="G9" s="68" t="s">
        <v>6</v>
      </c>
      <c r="L9" s="206"/>
      <c r="N9" s="9" t="s">
        <v>7</v>
      </c>
      <c r="O9" s="9"/>
      <c r="P9" s="9"/>
      <c r="Q9" s="69">
        <f>'Консолид_бюджет(текущ)'!Q9</f>
        <v>140718.15400000001</v>
      </c>
      <c r="R9" s="129"/>
      <c r="T9" s="123">
        <v>394</v>
      </c>
      <c r="U9" s="38" t="s">
        <v>89</v>
      </c>
      <c r="Z9" s="43"/>
      <c r="AA9" s="108"/>
      <c r="AB9" s="93"/>
      <c r="AD9" s="93"/>
      <c r="AE9" s="93"/>
      <c r="AF9" s="93"/>
      <c r="AH9" s="93"/>
      <c r="AJ9" s="93"/>
      <c r="AL9" s="93"/>
      <c r="AN9" s="93"/>
      <c r="AP9" s="93"/>
      <c r="AR9" s="93"/>
      <c r="AT9" s="93"/>
      <c r="AV9" s="93"/>
      <c r="AX9" s="93"/>
      <c r="AZ9" s="93"/>
      <c r="BB9" s="93"/>
      <c r="BD9" s="93"/>
      <c r="BF9" s="93"/>
      <c r="BH9" s="93"/>
      <c r="BJ9" s="93"/>
      <c r="BL9" s="93"/>
      <c r="BN9" s="93"/>
    </row>
    <row r="10" spans="7:66" ht="15" x14ac:dyDescent="0.25">
      <c r="G10" s="70"/>
      <c r="H10" s="6" t="s">
        <v>8</v>
      </c>
      <c r="I10" s="10">
        <f>((J71*T6+T11*J88)*T17/1000+T2*T42*15%*T37*12/1000000+T51*13%*T46*12/1000000)</f>
        <v>180249.95205350022</v>
      </c>
      <c r="L10" s="206"/>
      <c r="N10" s="9" t="s">
        <v>71</v>
      </c>
      <c r="O10" s="9"/>
      <c r="P10" s="9"/>
      <c r="Q10" s="69">
        <f>'Консолид_бюджет(текущ)'!Q10</f>
        <v>43180.132700000002</v>
      </c>
      <c r="R10" s="129"/>
      <c r="T10" s="123">
        <v>98.861000000000004</v>
      </c>
      <c r="U10" s="38" t="s">
        <v>94</v>
      </c>
      <c r="AA10" s="108"/>
      <c r="AB10" s="93" t="s">
        <v>77</v>
      </c>
      <c r="AC10" s="99">
        <v>55575</v>
      </c>
      <c r="AD10" s="38" t="s">
        <v>78</v>
      </c>
      <c r="AE10" s="99">
        <v>66018.5</v>
      </c>
      <c r="AF10" s="93" t="s">
        <v>79</v>
      </c>
      <c r="AH10" s="93"/>
      <c r="AJ10" s="93"/>
      <c r="AL10" s="93"/>
      <c r="AN10" s="93"/>
      <c r="AP10" s="93"/>
      <c r="AR10" s="93"/>
      <c r="AT10" s="93"/>
      <c r="AV10" s="93"/>
      <c r="AX10" s="93"/>
      <c r="AZ10" s="93"/>
      <c r="BB10" s="93"/>
      <c r="BD10" s="93"/>
      <c r="BF10" s="93"/>
      <c r="BH10" s="93"/>
      <c r="BJ10" s="93"/>
      <c r="BL10" s="93"/>
      <c r="BN10" s="93"/>
    </row>
    <row r="11" spans="7:66" ht="13.5" x14ac:dyDescent="0.25">
      <c r="G11" s="70"/>
      <c r="H11" s="6"/>
      <c r="I11" s="10"/>
      <c r="L11" s="206"/>
      <c r="N11" s="9" t="s">
        <v>72</v>
      </c>
      <c r="O11" s="9"/>
      <c r="P11" s="9"/>
      <c r="Q11" s="69">
        <f>'Консолид_бюджет(текущ)'!Q11</f>
        <v>14588.1214</v>
      </c>
      <c r="R11" s="129"/>
      <c r="T11" s="120">
        <f>AE10/AC10*T10</f>
        <v>117.43868517318938</v>
      </c>
      <c r="U11" s="38" t="s">
        <v>119</v>
      </c>
      <c r="AA11" s="108"/>
      <c r="AB11" s="93"/>
      <c r="AC11" s="93"/>
      <c r="AD11" s="93"/>
      <c r="AE11" s="93"/>
      <c r="AF11" s="93"/>
      <c r="AH11" s="93"/>
      <c r="AJ11" s="93"/>
      <c r="AL11" s="93"/>
      <c r="AN11" s="93"/>
      <c r="AP11" s="93"/>
      <c r="AR11" s="93"/>
      <c r="AT11" s="93"/>
      <c r="AV11" s="93"/>
      <c r="AX11" s="93"/>
      <c r="AZ11" s="93"/>
      <c r="BB11" s="93"/>
      <c r="BD11" s="93"/>
      <c r="BF11" s="93"/>
      <c r="BH11" s="93"/>
      <c r="BJ11" s="93"/>
      <c r="BL11" s="93"/>
      <c r="BN11" s="93"/>
    </row>
    <row r="12" spans="7:66" ht="13.5" customHeight="1" x14ac:dyDescent="0.25">
      <c r="G12" s="67"/>
      <c r="H12" s="221" t="s">
        <v>47</v>
      </c>
      <c r="I12" s="8"/>
      <c r="L12" s="206"/>
      <c r="N12" s="9" t="s">
        <v>42</v>
      </c>
      <c r="O12" s="9"/>
      <c r="P12" s="9"/>
      <c r="Q12" s="69">
        <f>'Консолид_бюджет(текущ)'!Q12</f>
        <v>25658.8986</v>
      </c>
      <c r="R12" s="129"/>
      <c r="T12" s="124">
        <f>T10*AF25*12*6%</f>
        <v>3198403.8637740002</v>
      </c>
      <c r="U12" s="105" t="s">
        <v>95</v>
      </c>
      <c r="V12" s="105"/>
      <c r="W12" s="105"/>
      <c r="X12" s="105"/>
      <c r="Y12" s="105"/>
      <c r="Z12" s="105"/>
      <c r="AA12" s="115"/>
      <c r="AB12" s="93"/>
      <c r="AC12" s="93"/>
      <c r="AD12" s="93"/>
      <c r="AF12" s="93" t="s">
        <v>80</v>
      </c>
      <c r="AH12" s="93"/>
      <c r="AJ12" s="93"/>
      <c r="AL12" s="93"/>
      <c r="AN12" s="93"/>
      <c r="AP12" s="93"/>
      <c r="AR12" s="93"/>
      <c r="AT12" s="93"/>
      <c r="AV12" s="93"/>
      <c r="AX12" s="93"/>
      <c r="AZ12" s="93"/>
      <c r="BB12" s="93"/>
      <c r="BD12" s="93"/>
      <c r="BF12" s="93"/>
      <c r="BH12" s="93"/>
      <c r="BJ12" s="93"/>
      <c r="BL12" s="93"/>
      <c r="BN12" s="93"/>
    </row>
    <row r="13" spans="7:66" ht="13.5" customHeight="1" x14ac:dyDescent="0.25">
      <c r="G13" s="70"/>
      <c r="H13" s="221"/>
      <c r="I13" s="10">
        <f>T12/1000+T33/1000</f>
        <v>3224.312543774</v>
      </c>
      <c r="L13" s="206"/>
      <c r="N13" s="9" t="s">
        <v>73</v>
      </c>
      <c r="O13" s="9"/>
      <c r="P13" s="9"/>
      <c r="Q13" s="69">
        <f>'Консолид_бюджет(текущ)'!Q13</f>
        <v>56617.623099999997</v>
      </c>
      <c r="R13" s="129"/>
      <c r="T13" s="125"/>
      <c r="AA13" s="93"/>
      <c r="AB13" s="93"/>
      <c r="AC13" s="93"/>
      <c r="AD13" s="93"/>
      <c r="AF13" s="100">
        <v>36862</v>
      </c>
      <c r="AH13" s="93"/>
      <c r="AJ13" s="93"/>
      <c r="AL13" s="93"/>
      <c r="AN13" s="93"/>
      <c r="AP13" s="93"/>
      <c r="AR13" s="93"/>
      <c r="AT13" s="93"/>
      <c r="AV13" s="93"/>
      <c r="AX13" s="93"/>
      <c r="AZ13" s="93"/>
      <c r="BB13" s="93"/>
      <c r="BD13" s="93"/>
      <c r="BF13" s="93"/>
      <c r="BH13" s="93"/>
      <c r="BJ13" s="93"/>
      <c r="BL13" s="93"/>
      <c r="BN13" s="93"/>
    </row>
    <row r="14" spans="7:66" ht="7.5" customHeight="1" x14ac:dyDescent="0.25">
      <c r="G14" s="62"/>
      <c r="H14" s="11"/>
      <c r="I14" s="8"/>
      <c r="L14" s="206"/>
      <c r="N14" s="9"/>
      <c r="O14" s="6"/>
      <c r="P14" s="6"/>
      <c r="Q14" s="71"/>
      <c r="R14" s="129"/>
      <c r="T14" s="125"/>
      <c r="AA14" s="93"/>
      <c r="AB14" s="93"/>
      <c r="AC14" s="93"/>
      <c r="AD14" s="93"/>
      <c r="AF14" s="100">
        <f>AF13</f>
        <v>36862</v>
      </c>
      <c r="AH14" s="93"/>
      <c r="AJ14" s="93"/>
      <c r="AL14" s="93"/>
      <c r="AN14" s="93"/>
      <c r="AP14" s="93"/>
      <c r="AR14" s="93"/>
      <c r="AT14" s="93"/>
      <c r="AV14" s="93"/>
      <c r="AX14" s="93"/>
      <c r="AZ14" s="93"/>
      <c r="BB14" s="93"/>
      <c r="BD14" s="93"/>
      <c r="BF14" s="93"/>
      <c r="BH14" s="93"/>
      <c r="BJ14" s="93"/>
      <c r="BL14" s="93"/>
      <c r="BN14" s="93"/>
    </row>
    <row r="15" spans="7:66" ht="6.75" customHeight="1" x14ac:dyDescent="0.2">
      <c r="G15" s="62"/>
      <c r="H15" s="7"/>
      <c r="I15" s="8"/>
      <c r="L15" s="206"/>
      <c r="Q15" s="63"/>
      <c r="R15" s="129"/>
      <c r="T15" s="125"/>
      <c r="AA15" s="93"/>
      <c r="AB15" s="93"/>
      <c r="AC15" s="93"/>
      <c r="AD15" s="93"/>
      <c r="AF15" s="100">
        <f>AF14</f>
        <v>36862</v>
      </c>
      <c r="AH15" s="93"/>
      <c r="AJ15" s="93"/>
      <c r="AL15" s="93"/>
      <c r="AN15" s="93"/>
      <c r="AP15" s="93"/>
      <c r="AR15" s="93"/>
      <c r="AT15" s="93"/>
      <c r="AV15" s="93"/>
      <c r="AX15" s="93"/>
      <c r="AZ15" s="93"/>
      <c r="BB15" s="93"/>
      <c r="BD15" s="93"/>
      <c r="BF15" s="93"/>
      <c r="BH15" s="93"/>
      <c r="BJ15" s="93"/>
      <c r="BL15" s="93"/>
      <c r="BN15" s="93"/>
    </row>
    <row r="16" spans="7:66" ht="17.25" customHeight="1" thickBot="1" x14ac:dyDescent="0.3">
      <c r="G16" s="70"/>
      <c r="H16" s="5" t="s">
        <v>87</v>
      </c>
      <c r="I16" s="7"/>
      <c r="L16" s="206"/>
      <c r="N16" s="222" t="s">
        <v>56</v>
      </c>
      <c r="O16" s="223"/>
      <c r="P16" s="223"/>
      <c r="Q16" s="224"/>
      <c r="R16" s="129"/>
      <c r="T16" s="122">
        <v>99124</v>
      </c>
      <c r="U16" s="102" t="s">
        <v>121</v>
      </c>
      <c r="V16" s="102"/>
      <c r="W16" s="102"/>
      <c r="X16" s="102"/>
      <c r="Y16" s="102"/>
      <c r="Z16" s="102"/>
      <c r="AA16" s="102"/>
      <c r="AB16" s="103"/>
      <c r="AC16" s="93"/>
      <c r="AD16" s="93"/>
      <c r="AF16" s="100">
        <v>45365</v>
      </c>
      <c r="AH16" s="93"/>
      <c r="AJ16" s="93"/>
      <c r="AL16" s="93"/>
      <c r="AN16" s="93"/>
      <c r="AP16" s="93"/>
      <c r="AR16" s="93"/>
      <c r="AT16" s="93"/>
      <c r="AV16" s="93"/>
      <c r="AX16" s="93"/>
      <c r="AZ16" s="93"/>
      <c r="BB16" s="93"/>
      <c r="BD16" s="93"/>
      <c r="BF16" s="93"/>
      <c r="BH16" s="93"/>
      <c r="BJ16" s="93"/>
      <c r="BL16" s="93"/>
      <c r="BN16" s="93"/>
    </row>
    <row r="17" spans="7:66" ht="14.25" customHeight="1" x14ac:dyDescent="0.25">
      <c r="G17" s="72"/>
      <c r="H17" s="5" t="s">
        <v>88</v>
      </c>
      <c r="I17" s="10">
        <f>T2*(2.9%+5.1%)*12*T6/1000</f>
        <v>97288.665205597106</v>
      </c>
      <c r="L17" s="206"/>
      <c r="N17" s="27"/>
      <c r="O17" s="28" t="s">
        <v>76</v>
      </c>
      <c r="P17" s="28"/>
      <c r="Q17" s="73">
        <f>ROUND(T2,1)</f>
        <v>81648.7</v>
      </c>
      <c r="R17" s="129"/>
      <c r="T17" s="124">
        <v>0.92525296006285551</v>
      </c>
      <c r="U17" s="105" t="s">
        <v>122</v>
      </c>
      <c r="V17" s="105"/>
      <c r="W17" s="105"/>
      <c r="X17" s="105">
        <f>T16/((T6*J71+T11*J88)/1000)</f>
        <v>0.58490970070614545</v>
      </c>
      <c r="Y17" s="105"/>
      <c r="Z17" s="105"/>
      <c r="AA17" s="105"/>
      <c r="AB17" s="106"/>
      <c r="AC17" s="93"/>
      <c r="AD17" s="93"/>
      <c r="AF17" s="100">
        <f t="shared" ref="AF17:AF18" si="0">AF16</f>
        <v>45365</v>
      </c>
      <c r="AH17" s="93"/>
      <c r="AJ17" s="93"/>
      <c r="AL17" s="93"/>
      <c r="AN17" s="93"/>
      <c r="AP17" s="93"/>
      <c r="AR17" s="93"/>
      <c r="AT17" s="93"/>
      <c r="AV17" s="93"/>
      <c r="AX17" s="93"/>
      <c r="AZ17" s="93"/>
      <c r="BB17" s="93"/>
      <c r="BD17" s="93"/>
      <c r="BF17" s="93"/>
      <c r="BH17" s="93"/>
      <c r="BJ17" s="93"/>
      <c r="BL17" s="93"/>
      <c r="BN17" s="93"/>
    </row>
    <row r="18" spans="7:66" ht="3" customHeight="1" x14ac:dyDescent="0.2">
      <c r="G18" s="67"/>
      <c r="H18" s="5"/>
      <c r="L18" s="206"/>
      <c r="N18" s="29"/>
      <c r="Q18" s="74"/>
      <c r="R18" s="129"/>
      <c r="T18" s="126"/>
      <c r="U18" s="102"/>
      <c r="V18" s="102"/>
      <c r="W18" s="102"/>
      <c r="X18" s="102"/>
      <c r="Y18" s="102"/>
      <c r="Z18" s="102"/>
      <c r="AA18" s="102"/>
      <c r="AB18" s="103"/>
      <c r="AD18" s="93"/>
      <c r="AF18" s="100">
        <f t="shared" si="0"/>
        <v>45365</v>
      </c>
      <c r="AH18" s="93"/>
      <c r="AJ18" s="93"/>
      <c r="AL18" s="93"/>
      <c r="AN18" s="93"/>
      <c r="AP18" s="93"/>
      <c r="AR18" s="93"/>
      <c r="AT18" s="93"/>
      <c r="AV18" s="93"/>
      <c r="AX18" s="93"/>
      <c r="AZ18" s="93"/>
      <c r="BB18" s="93"/>
      <c r="BD18" s="93"/>
      <c r="BF18" s="93"/>
      <c r="BH18" s="93"/>
      <c r="BJ18" s="93"/>
      <c r="BL18" s="93"/>
      <c r="BN18" s="93"/>
    </row>
    <row r="19" spans="7:66" ht="15" x14ac:dyDescent="0.25">
      <c r="G19" s="70"/>
      <c r="H19" s="6"/>
      <c r="I19" s="4" t="s">
        <v>9</v>
      </c>
      <c r="J19" s="12">
        <f>I10+I13+I17</f>
        <v>280762.92980287131</v>
      </c>
      <c r="L19" s="206"/>
      <c r="N19" s="29"/>
      <c r="O19" s="13" t="s">
        <v>86</v>
      </c>
      <c r="P19" s="13"/>
      <c r="Q19" s="74">
        <f>ROUND(T6,1)</f>
        <v>1241.2</v>
      </c>
      <c r="R19" s="129"/>
      <c r="T19" s="123">
        <v>241.55799999999999</v>
      </c>
      <c r="U19" s="38" t="s">
        <v>90</v>
      </c>
      <c r="AA19" s="93"/>
      <c r="AB19" s="108"/>
      <c r="AC19" s="93"/>
      <c r="AD19" s="93"/>
      <c r="AF19" s="100">
        <v>44973</v>
      </c>
      <c r="AH19" s="93"/>
      <c r="AJ19" s="93"/>
      <c r="AL19" s="93"/>
      <c r="AN19" s="93"/>
      <c r="AP19" s="93"/>
      <c r="AR19" s="93"/>
      <c r="AT19" s="93"/>
      <c r="AV19" s="93"/>
      <c r="AX19" s="93"/>
      <c r="AZ19" s="93"/>
      <c r="BB19" s="93"/>
      <c r="BD19" s="93"/>
      <c r="BF19" s="93"/>
      <c r="BH19" s="93"/>
      <c r="BJ19" s="93"/>
      <c r="BL19" s="93"/>
      <c r="BN19" s="93"/>
    </row>
    <row r="20" spans="7:66" ht="18" customHeight="1" thickBot="1" x14ac:dyDescent="0.3">
      <c r="G20" s="67"/>
      <c r="H20" s="6"/>
      <c r="I20" s="10"/>
      <c r="J20" s="7"/>
      <c r="L20" s="206"/>
      <c r="N20" s="210" t="s">
        <v>15</v>
      </c>
      <c r="O20" s="211"/>
      <c r="P20" s="30"/>
      <c r="Q20" s="75">
        <f>Q7-J19</f>
        <v>-2.8712674975395203E-6</v>
      </c>
      <c r="R20" s="129"/>
      <c r="T20" s="120">
        <f>T6+T19</f>
        <v>1482.758</v>
      </c>
      <c r="U20" s="38" t="s">
        <v>61</v>
      </c>
      <c r="AA20" s="93"/>
      <c r="AB20" s="108"/>
      <c r="AC20" s="94"/>
      <c r="AF20" s="100">
        <f t="shared" ref="AF20:AF21" si="1">AF19</f>
        <v>44973</v>
      </c>
    </row>
    <row r="21" spans="7:66" ht="6.75" customHeight="1" x14ac:dyDescent="0.2">
      <c r="G21" s="67"/>
      <c r="H21" s="6"/>
      <c r="L21" s="182" t="s">
        <v>10</v>
      </c>
      <c r="N21" s="132"/>
      <c r="O21" s="132"/>
      <c r="P21" s="132"/>
      <c r="Q21" s="133"/>
      <c r="R21" s="129"/>
      <c r="T21" s="120"/>
      <c r="AB21" s="104"/>
      <c r="AF21" s="100">
        <f t="shared" si="1"/>
        <v>44973</v>
      </c>
    </row>
    <row r="22" spans="7:66" ht="16.5" customHeight="1" x14ac:dyDescent="0.2">
      <c r="G22" s="67"/>
      <c r="H22" s="6" t="s">
        <v>11</v>
      </c>
      <c r="I22" s="58">
        <f>'Консолид_бюджет(текущ)'!I22</f>
        <v>166083.99904143999</v>
      </c>
      <c r="L22" s="183"/>
      <c r="N22" s="132"/>
      <c r="O22" s="132"/>
      <c r="P22" s="132"/>
      <c r="Q22" s="133"/>
      <c r="R22" s="129"/>
      <c r="T22" s="120">
        <v>2431.35</v>
      </c>
      <c r="U22" s="38" t="s">
        <v>81</v>
      </c>
      <c r="AB22" s="104"/>
      <c r="AF22" s="100">
        <v>52536.3</v>
      </c>
    </row>
    <row r="23" spans="7:66" ht="17.25" customHeight="1" x14ac:dyDescent="0.2">
      <c r="G23" s="67"/>
      <c r="H23" s="6" t="s">
        <v>43</v>
      </c>
      <c r="I23" s="58">
        <f>'Консолид_бюджет(текущ)'!I23</f>
        <v>18793.552486085999</v>
      </c>
      <c r="L23" s="183"/>
      <c r="N23" s="132"/>
      <c r="O23" s="132"/>
      <c r="P23" s="132"/>
      <c r="Q23" s="133"/>
      <c r="R23" s="129"/>
      <c r="T23" s="124"/>
      <c r="U23" s="105"/>
      <c r="V23" s="105"/>
      <c r="W23" s="105"/>
      <c r="X23" s="105"/>
      <c r="Y23" s="105"/>
      <c r="Z23" s="105"/>
      <c r="AA23" s="105"/>
      <c r="AB23" s="106"/>
      <c r="AF23" s="100">
        <f t="shared" ref="AF23:AF24" si="2">AF22</f>
        <v>52536.3</v>
      </c>
    </row>
    <row r="24" spans="7:66" ht="6.75" customHeight="1" x14ac:dyDescent="0.2">
      <c r="G24" s="67"/>
      <c r="H24" s="6"/>
      <c r="I24" s="58"/>
      <c r="L24" s="183"/>
      <c r="N24" s="132"/>
      <c r="O24" s="132"/>
      <c r="P24" s="132"/>
      <c r="Q24" s="133"/>
      <c r="R24" s="129"/>
      <c r="T24" s="125"/>
      <c r="AF24" s="100">
        <f t="shared" si="2"/>
        <v>52536.3</v>
      </c>
    </row>
    <row r="25" spans="7:66" ht="15" x14ac:dyDescent="0.25">
      <c r="G25" s="67"/>
      <c r="H25" s="6" t="s">
        <v>12</v>
      </c>
      <c r="I25" s="58">
        <f>'Консолид_бюджет(текущ)'!I25</f>
        <v>51630.810465069997</v>
      </c>
      <c r="L25" s="183"/>
      <c r="N25" s="132"/>
      <c r="O25" s="132"/>
      <c r="P25" s="132"/>
      <c r="Q25" s="133"/>
      <c r="R25" s="129"/>
      <c r="T25" s="122">
        <v>275.60199999999998</v>
      </c>
      <c r="U25" s="102" t="s">
        <v>82</v>
      </c>
      <c r="V25" s="102"/>
      <c r="W25" s="102"/>
      <c r="X25" s="103"/>
      <c r="AF25" s="101">
        <f>AVERAGE(AF13:AF24)</f>
        <v>44934.075000000004</v>
      </c>
    </row>
    <row r="26" spans="7:66" ht="6.75" customHeight="1" x14ac:dyDescent="0.2">
      <c r="G26" s="67"/>
      <c r="H26" s="6"/>
      <c r="I26" s="58"/>
      <c r="L26" s="183"/>
      <c r="N26" s="132"/>
      <c r="O26" s="132"/>
      <c r="P26" s="132"/>
      <c r="Q26" s="133"/>
      <c r="R26" s="129"/>
      <c r="T26" s="120"/>
      <c r="X26" s="104"/>
    </row>
    <row r="27" spans="7:66" ht="14.25" customHeight="1" x14ac:dyDescent="0.2">
      <c r="G27" s="79" t="s">
        <v>13</v>
      </c>
      <c r="H27" s="6" t="s">
        <v>14</v>
      </c>
      <c r="I27" s="58">
        <f>'Консолид_бюджет(текущ)'!I27</f>
        <v>42831.928368959998</v>
      </c>
      <c r="L27" s="183"/>
      <c r="N27" s="132"/>
      <c r="O27" s="132"/>
      <c r="P27" s="132"/>
      <c r="Q27" s="133"/>
      <c r="R27" s="129"/>
      <c r="T27" s="128">
        <v>0.3</v>
      </c>
      <c r="U27" s="38" t="s">
        <v>83</v>
      </c>
      <c r="X27" s="104"/>
    </row>
    <row r="28" spans="7:66" ht="6.75" customHeight="1" x14ac:dyDescent="0.2">
      <c r="G28" s="79"/>
      <c r="H28" s="6"/>
      <c r="I28" s="58"/>
      <c r="L28" s="183"/>
      <c r="N28" s="132"/>
      <c r="O28" s="132"/>
      <c r="P28" s="132"/>
      <c r="Q28" s="133"/>
      <c r="R28" s="129"/>
      <c r="T28" s="150">
        <f>T25*T27</f>
        <v>82.680599999999984</v>
      </c>
      <c r="U28" s="151" t="s">
        <v>84</v>
      </c>
      <c r="V28" s="151"/>
      <c r="W28" s="151"/>
      <c r="X28" s="104"/>
    </row>
    <row r="29" spans="7:66" ht="7.5" customHeight="1" x14ac:dyDescent="0.2">
      <c r="G29" s="67"/>
      <c r="H29" s="221" t="s">
        <v>46</v>
      </c>
      <c r="I29" s="181">
        <f>'Консолид_бюджет(текущ)'!I29</f>
        <v>117.68817423</v>
      </c>
      <c r="L29" s="183"/>
      <c r="N29" s="132"/>
      <c r="O29" s="132"/>
      <c r="P29" s="132"/>
      <c r="Q29" s="133"/>
      <c r="R29" s="129"/>
      <c r="T29" s="150"/>
      <c r="U29" s="151"/>
      <c r="V29" s="151"/>
      <c r="W29" s="151"/>
      <c r="X29" s="104"/>
      <c r="AD29" s="148"/>
    </row>
    <row r="30" spans="7:66" ht="9" customHeight="1" x14ac:dyDescent="0.2">
      <c r="G30" s="67"/>
      <c r="H30" s="221"/>
      <c r="I30" s="181"/>
      <c r="L30" s="183"/>
      <c r="N30" s="132"/>
      <c r="O30" s="132"/>
      <c r="P30" s="132"/>
      <c r="Q30" s="133"/>
      <c r="R30" s="217"/>
      <c r="S30" s="216"/>
      <c r="T30" s="150">
        <f>ROUND(T2/39588.3*26171.08,2)</f>
        <v>53976.42</v>
      </c>
      <c r="X30" s="104"/>
      <c r="AD30" s="149"/>
    </row>
    <row r="31" spans="7:66" ht="9" customHeight="1" x14ac:dyDescent="0.2">
      <c r="G31" s="67"/>
      <c r="H31" s="221"/>
      <c r="I31" s="181"/>
      <c r="L31" s="183"/>
      <c r="N31" s="132"/>
      <c r="O31" s="132"/>
      <c r="P31" s="132"/>
      <c r="Q31" s="133"/>
      <c r="R31" s="217"/>
      <c r="S31" s="216"/>
      <c r="T31" s="150"/>
      <c r="U31" s="38" t="s">
        <v>85</v>
      </c>
      <c r="X31" s="104"/>
    </row>
    <row r="32" spans="7:66" ht="9" customHeight="1" x14ac:dyDescent="0.2">
      <c r="G32" s="67"/>
      <c r="H32" s="221"/>
      <c r="I32" s="181"/>
      <c r="L32" s="183"/>
      <c r="N32" s="132"/>
      <c r="O32" s="132"/>
      <c r="P32" s="132"/>
      <c r="Q32" s="133"/>
      <c r="R32" s="129"/>
      <c r="T32" s="120"/>
      <c r="X32" s="104"/>
    </row>
    <row r="33" spans="7:29" ht="24.75" customHeight="1" x14ac:dyDescent="0.2">
      <c r="G33" s="67"/>
      <c r="H33" s="36" t="s">
        <v>16</v>
      </c>
      <c r="I33" s="59">
        <f>'Консолид_бюджет(текущ)'!I33</f>
        <v>1366.00190716</v>
      </c>
      <c r="L33" s="183"/>
      <c r="N33" s="132"/>
      <c r="O33" s="132"/>
      <c r="P33" s="132"/>
      <c r="Q33" s="133"/>
      <c r="R33" s="129"/>
      <c r="S33" s="41"/>
      <c r="T33" s="124">
        <f>ROUND(T30*0.04*12,2)</f>
        <v>25908.68</v>
      </c>
      <c r="U33" s="105" t="s">
        <v>95</v>
      </c>
      <c r="V33" s="105"/>
      <c r="W33" s="105"/>
      <c r="X33" s="106"/>
    </row>
    <row r="34" spans="7:29" ht="4.5" customHeight="1" x14ac:dyDescent="0.2">
      <c r="G34" s="67"/>
      <c r="I34" s="8"/>
      <c r="L34" s="183"/>
      <c r="N34" s="132"/>
      <c r="O34" s="132"/>
      <c r="P34" s="132"/>
      <c r="Q34" s="133"/>
      <c r="R34" s="129"/>
      <c r="T34" s="125"/>
    </row>
    <row r="35" spans="7:29" ht="15.75" customHeight="1" x14ac:dyDescent="0.2">
      <c r="G35" s="62"/>
      <c r="I35" s="4" t="s">
        <v>9</v>
      </c>
      <c r="J35" s="12">
        <f>I22+I23+I25+I27+I29+I33</f>
        <v>280823.98044294596</v>
      </c>
      <c r="L35" s="184"/>
      <c r="N35" s="132"/>
      <c r="O35" s="132"/>
      <c r="P35" s="132"/>
      <c r="Q35" s="133"/>
      <c r="R35" s="129"/>
      <c r="T35" s="127">
        <v>1E-3</v>
      </c>
      <c r="U35" s="102" t="s">
        <v>91</v>
      </c>
      <c r="V35" s="102"/>
      <c r="W35" s="102"/>
      <c r="X35" s="102"/>
      <c r="Y35" s="102"/>
      <c r="Z35" s="102"/>
      <c r="AA35" s="102"/>
      <c r="AB35" s="102"/>
      <c r="AC35" s="103"/>
    </row>
    <row r="36" spans="7:29" ht="8.25" customHeight="1" x14ac:dyDescent="0.2">
      <c r="G36" s="62"/>
      <c r="I36" s="8"/>
      <c r="N36" s="132"/>
      <c r="O36" s="132"/>
      <c r="P36" s="132"/>
      <c r="Q36" s="133"/>
      <c r="R36" s="129"/>
      <c r="T36" s="120"/>
      <c r="AC36" s="104"/>
    </row>
    <row r="37" spans="7:29" ht="15.75" customHeight="1" x14ac:dyDescent="0.2">
      <c r="G37" s="62"/>
      <c r="N37" s="132"/>
      <c r="O37" s="132"/>
      <c r="P37" s="132"/>
      <c r="Q37" s="133"/>
      <c r="R37" s="129"/>
      <c r="T37" s="120">
        <f>T6*T35*1000</f>
        <v>1241.2</v>
      </c>
      <c r="U37" s="38" t="s">
        <v>92</v>
      </c>
      <c r="AC37" s="104"/>
    </row>
    <row r="38" spans="7:29" ht="15" x14ac:dyDescent="0.25">
      <c r="G38" s="62"/>
      <c r="Q38" s="63"/>
      <c r="R38" s="129"/>
      <c r="T38" s="123">
        <v>12867.91947922</v>
      </c>
      <c r="U38" s="38" t="s">
        <v>93</v>
      </c>
      <c r="AC38" s="104"/>
    </row>
    <row r="39" spans="7:29" ht="2.25" customHeight="1" x14ac:dyDescent="0.2">
      <c r="G39" s="62"/>
      <c r="H39" s="2" t="s">
        <v>17</v>
      </c>
      <c r="Q39" s="63"/>
      <c r="R39" s="129"/>
      <c r="T39" s="120"/>
      <c r="AC39" s="104"/>
    </row>
    <row r="40" spans="7:29" ht="27" customHeight="1" x14ac:dyDescent="0.2">
      <c r="G40" s="81" t="s">
        <v>18</v>
      </c>
      <c r="H40" s="117" t="s">
        <v>48</v>
      </c>
      <c r="I40" s="188" t="s">
        <v>19</v>
      </c>
      <c r="J40" s="188"/>
      <c r="K40" s="188"/>
      <c r="L40" s="188" t="s">
        <v>20</v>
      </c>
      <c r="M40" s="188"/>
      <c r="N40" s="188"/>
      <c r="O40" s="23" t="s">
        <v>21</v>
      </c>
      <c r="P40" s="227" t="s">
        <v>15</v>
      </c>
      <c r="Q40" s="228"/>
      <c r="R40" s="129"/>
      <c r="T40" s="120">
        <f>T38/T37/12*1000000</f>
        <v>863943.46057712962</v>
      </c>
      <c r="U40" s="38" t="s">
        <v>124</v>
      </c>
      <c r="AC40" s="104"/>
    </row>
    <row r="41" spans="7:29" ht="17.25" customHeight="1" x14ac:dyDescent="0.2">
      <c r="G41" s="82" t="s">
        <v>52</v>
      </c>
      <c r="H41" s="31">
        <f>'Консолид_бюджет(текущ)'!H41</f>
        <v>1241.2</v>
      </c>
      <c r="I41" s="229">
        <f>'Консолид_бюджет(текущ)'!I41:K41</f>
        <v>52088.6</v>
      </c>
      <c r="J41" s="230"/>
      <c r="K41" s="231"/>
      <c r="L41" s="232">
        <f>'Консолид_бюджет(текущ)'!L41:N41</f>
        <v>180551.06607045396</v>
      </c>
      <c r="M41" s="233"/>
      <c r="N41" s="234"/>
      <c r="O41" s="31">
        <f>Q7</f>
        <v>280762.92980000004</v>
      </c>
      <c r="P41" s="200">
        <f>'Консолид_бюджет(текущ)'!P41:Q41</f>
        <v>100211.86372954608</v>
      </c>
      <c r="Q41" s="201"/>
      <c r="R41" s="129"/>
      <c r="T41" s="120">
        <f>T40/15%*100%</f>
        <v>5759623.0705141975</v>
      </c>
      <c r="U41" s="38" t="s">
        <v>116</v>
      </c>
      <c r="AC41" s="104"/>
    </row>
    <row r="42" spans="7:29" x14ac:dyDescent="0.2">
      <c r="G42" s="83" t="s">
        <v>44</v>
      </c>
      <c r="H42" s="139">
        <f>'Подбор численности'!H42</f>
        <v>1982.8</v>
      </c>
      <c r="I42" s="243">
        <f>'Подбор численности'!I42:K42</f>
        <v>52088.6</v>
      </c>
      <c r="J42" s="244"/>
      <c r="K42" s="245"/>
      <c r="L42" s="243">
        <f>'Подбор численности'!L42:N42</f>
        <v>280762.92980024207</v>
      </c>
      <c r="M42" s="246"/>
      <c r="N42" s="245"/>
      <c r="O42" s="25">
        <f>Q7</f>
        <v>280762.92980000004</v>
      </c>
      <c r="P42" s="156">
        <f>O42-L42</f>
        <v>-2.4202745407819748E-7</v>
      </c>
      <c r="Q42" s="157"/>
      <c r="R42" s="129"/>
      <c r="T42" s="124">
        <v>110.57358175328571</v>
      </c>
      <c r="U42" s="105" t="s">
        <v>122</v>
      </c>
      <c r="V42" s="105"/>
      <c r="W42" s="105"/>
      <c r="X42" s="105">
        <f>T41/T2</f>
        <v>70.541520683978959</v>
      </c>
      <c r="Y42" s="105"/>
      <c r="Z42" s="105"/>
      <c r="AA42" s="105"/>
      <c r="AB42" s="105"/>
      <c r="AC42" s="106"/>
    </row>
    <row r="43" spans="7:29" ht="6" customHeight="1" x14ac:dyDescent="0.2">
      <c r="G43" s="84"/>
      <c r="H43" s="24"/>
      <c r="I43" s="162"/>
      <c r="J43" s="247"/>
      <c r="K43" s="172"/>
      <c r="L43" s="162"/>
      <c r="M43" s="247"/>
      <c r="N43" s="172"/>
      <c r="O43" s="24"/>
      <c r="P43" s="162"/>
      <c r="Q43" s="163"/>
      <c r="R43" s="129"/>
      <c r="T43" s="125"/>
    </row>
    <row r="44" spans="7:29" ht="15" x14ac:dyDescent="0.25">
      <c r="G44" s="83" t="s">
        <v>45</v>
      </c>
      <c r="H44" s="25">
        <f>$Q$19</f>
        <v>1241.2</v>
      </c>
      <c r="I44" s="164">
        <f>$T$2</f>
        <v>81648.694480473467</v>
      </c>
      <c r="J44" s="165"/>
      <c r="K44" s="166"/>
      <c r="L44" s="248">
        <f>$J$19</f>
        <v>280762.92980287131</v>
      </c>
      <c r="M44" s="249"/>
      <c r="N44" s="250"/>
      <c r="O44" s="25">
        <f>Q7</f>
        <v>280762.92980000004</v>
      </c>
      <c r="P44" s="158">
        <f>O44-L44</f>
        <v>-2.8712674975395203E-6</v>
      </c>
      <c r="Q44" s="159"/>
      <c r="R44" s="129"/>
      <c r="T44" s="122">
        <f>SUM(Y74:Y80)/1000000</f>
        <v>3277.9385202600001</v>
      </c>
      <c r="U44" s="102" t="s">
        <v>112</v>
      </c>
      <c r="V44" s="102"/>
      <c r="W44" s="102"/>
      <c r="X44" s="102"/>
      <c r="Y44" s="102"/>
      <c r="Z44" s="102"/>
      <c r="AA44" s="102"/>
      <c r="AB44" s="102"/>
      <c r="AC44" s="103"/>
    </row>
    <row r="45" spans="7:29" ht="6.75" customHeight="1" x14ac:dyDescent="0.2">
      <c r="G45" s="83"/>
      <c r="H45" s="140"/>
      <c r="I45" s="237"/>
      <c r="J45" s="238"/>
      <c r="K45" s="239"/>
      <c r="L45" s="240"/>
      <c r="M45" s="241"/>
      <c r="N45" s="242"/>
      <c r="O45" s="25"/>
      <c r="P45" s="158"/>
      <c r="Q45" s="159"/>
      <c r="R45" s="129"/>
      <c r="T45" s="120"/>
      <c r="AC45" s="104"/>
    </row>
    <row r="46" spans="7:29" ht="22.5" customHeight="1" x14ac:dyDescent="0.25">
      <c r="G46" s="85" t="s">
        <v>22</v>
      </c>
      <c r="H46" s="136">
        <f>'Подбор "серый рынок"'!H46</f>
        <v>1482.8</v>
      </c>
      <c r="I46" s="194">
        <f>'Подбор "серый рынок"'!I46:K46</f>
        <v>52088.6</v>
      </c>
      <c r="J46" s="195"/>
      <c r="K46" s="196"/>
      <c r="L46" s="191">
        <f>'Подбор "серый рынок"'!L46:N46</f>
        <v>213198.42433353234</v>
      </c>
      <c r="M46" s="192"/>
      <c r="N46" s="193"/>
      <c r="O46" s="137">
        <f>Q7</f>
        <v>280762.92980000004</v>
      </c>
      <c r="P46" s="235">
        <f>O46-L46</f>
        <v>67564.505466467701</v>
      </c>
      <c r="Q46" s="236"/>
      <c r="R46" s="129"/>
      <c r="T46" s="123">
        <v>4000854</v>
      </c>
      <c r="U46" s="38" t="s">
        <v>113</v>
      </c>
      <c r="AC46" s="104"/>
    </row>
    <row r="47" spans="7:29" ht="6.75" hidden="1" customHeight="1" x14ac:dyDescent="0.2">
      <c r="G47" s="176" t="s">
        <v>23</v>
      </c>
      <c r="H47" s="18"/>
      <c r="I47" s="14"/>
      <c r="J47" s="8"/>
      <c r="K47" s="15"/>
      <c r="L47" s="14"/>
      <c r="N47" s="15"/>
      <c r="O47" s="16"/>
      <c r="Q47" s="63"/>
      <c r="R47" s="129"/>
      <c r="T47" s="120"/>
      <c r="AC47" s="104"/>
    </row>
    <row r="48" spans="7:29" ht="43.5" hidden="1" customHeight="1" thickBot="1" x14ac:dyDescent="0.25">
      <c r="G48" s="177"/>
      <c r="H48" s="19">
        <v>1901</v>
      </c>
      <c r="I48" s="20" t="s">
        <v>24</v>
      </c>
      <c r="J48" s="21">
        <v>5060</v>
      </c>
      <c r="K48" s="17"/>
      <c r="L48" s="178">
        <v>23169</v>
      </c>
      <c r="M48" s="179"/>
      <c r="N48" s="180"/>
      <c r="O48" s="22">
        <v>23169</v>
      </c>
      <c r="P48" s="32"/>
      <c r="Q48" s="63"/>
      <c r="R48" s="129"/>
      <c r="T48" s="120"/>
      <c r="AC48" s="104"/>
    </row>
    <row r="49" spans="7:29" ht="7.5" customHeight="1" x14ac:dyDescent="0.2">
      <c r="G49" s="62"/>
      <c r="Q49" s="63"/>
      <c r="R49" s="129"/>
      <c r="T49" s="120"/>
      <c r="AC49" s="104"/>
    </row>
    <row r="50" spans="7:29" x14ac:dyDescent="0.2">
      <c r="G50" s="62" t="s">
        <v>49</v>
      </c>
      <c r="Q50" s="63"/>
      <c r="R50" s="129"/>
      <c r="T50" s="120">
        <f>T44/T46*1000000/12</f>
        <v>68.27580895353843</v>
      </c>
      <c r="U50" s="38" t="s">
        <v>114</v>
      </c>
      <c r="AC50" s="104"/>
    </row>
    <row r="51" spans="7:29" ht="18.75" thickBot="1" x14ac:dyDescent="0.3">
      <c r="G51" s="86" t="s">
        <v>50</v>
      </c>
      <c r="H51" s="87"/>
      <c r="I51" s="87"/>
      <c r="J51" s="88"/>
      <c r="K51" s="89"/>
      <c r="L51" s="87"/>
      <c r="M51" s="87"/>
      <c r="N51" s="87"/>
      <c r="O51" s="87"/>
      <c r="P51" s="87"/>
      <c r="Q51" s="90"/>
      <c r="R51" s="129"/>
      <c r="T51" s="120">
        <f>T50/13%*100%</f>
        <v>525.1985304118341</v>
      </c>
      <c r="U51" s="38" t="s">
        <v>115</v>
      </c>
      <c r="AC51" s="104"/>
    </row>
    <row r="52" spans="7:29" s="38" customFormat="1" ht="27" customHeight="1" thickTop="1" x14ac:dyDescent="0.25">
      <c r="J52" s="42"/>
      <c r="K52" s="43"/>
      <c r="Q52" s="43"/>
      <c r="T52" s="55"/>
      <c r="U52" s="105"/>
      <c r="V52" s="105"/>
      <c r="W52" s="105"/>
      <c r="X52" s="105"/>
      <c r="Y52" s="105"/>
      <c r="Z52" s="105"/>
      <c r="AA52" s="105"/>
      <c r="AB52" s="105"/>
      <c r="AC52" s="106"/>
    </row>
    <row r="53" spans="7:29" s="38" customFormat="1" x14ac:dyDescent="0.2">
      <c r="H53" s="44" t="s">
        <v>25</v>
      </c>
      <c r="I53" s="45">
        <v>2E-3</v>
      </c>
    </row>
    <row r="54" spans="7:29" s="38" customFormat="1" x14ac:dyDescent="0.2">
      <c r="H54" s="43" t="s">
        <v>26</v>
      </c>
      <c r="I54" s="46">
        <f>1-J71/(T2*13%*12)</f>
        <v>8.8354850261687101E-3</v>
      </c>
    </row>
    <row r="55" spans="7:29" s="38" customFormat="1" x14ac:dyDescent="0.2">
      <c r="H55" s="43"/>
      <c r="I55" s="46"/>
      <c r="J55" s="38">
        <f>852.21+142.005*98.6%+3.093+1.243+0.312+0.12+0.089+3.151+1.598+0.551+0.237+0.196+14.557+10.25+2.986+1.043+0.509</f>
        <v>1032.1619300000002</v>
      </c>
      <c r="K55" s="38" t="s">
        <v>118</v>
      </c>
    </row>
    <row r="56" spans="7:29" s="38" customFormat="1" x14ac:dyDescent="0.2">
      <c r="J56" s="38">
        <f>J55/T6</f>
        <v>0.83158389461811166</v>
      </c>
      <c r="K56" s="38" t="s">
        <v>55</v>
      </c>
      <c r="O56" s="38">
        <f>J71*T6/1000</f>
        <v>156697.24307405535</v>
      </c>
    </row>
    <row r="57" spans="7:29" s="38" customFormat="1" ht="39.75" customHeight="1" x14ac:dyDescent="0.2">
      <c r="H57" s="146" t="s">
        <v>27</v>
      </c>
      <c r="I57" s="147"/>
      <c r="J57" s="47">
        <f>1400*J56</f>
        <v>1164.2174524653562</v>
      </c>
      <c r="K57" s="38" t="s">
        <v>54</v>
      </c>
      <c r="U57" s="155" t="s">
        <v>63</v>
      </c>
      <c r="V57" s="155"/>
      <c r="W57" s="155"/>
      <c r="X57" s="155"/>
      <c r="Y57" s="155"/>
    </row>
    <row r="58" spans="7:29" s="38" customFormat="1" ht="25.5" x14ac:dyDescent="0.2">
      <c r="H58" s="48"/>
      <c r="I58" s="49" t="s">
        <v>28</v>
      </c>
      <c r="J58" s="50" t="s">
        <v>29</v>
      </c>
      <c r="O58" s="38">
        <f>J55+142.005+3.093+1.243+0.312+0.12+0.089+3.151+1.598+0.551+0.237+0.196+14.557+10.25+2.986+1.043+0.509</f>
        <v>1214.10193</v>
      </c>
      <c r="U58" s="152" t="s">
        <v>64</v>
      </c>
      <c r="V58" s="154" t="s">
        <v>65</v>
      </c>
      <c r="W58" s="154"/>
      <c r="X58" s="154"/>
      <c r="Y58" s="154"/>
    </row>
    <row r="59" spans="7:29" s="38" customFormat="1" ht="84" x14ac:dyDescent="0.2">
      <c r="H59" s="51" t="s">
        <v>30</v>
      </c>
      <c r="I59" s="52">
        <f>$T$2</f>
        <v>81648.694480473467</v>
      </c>
      <c r="J59" s="53">
        <f>IF(I59&lt;$J$57,0,IF(SUM($I$59:I59)&lt;350000,(I59-$J$57)*13%,I59*13%))</f>
        <v>10462.982013641054</v>
      </c>
      <c r="N59" s="41">
        <f>I10</f>
        <v>180249.95205350022</v>
      </c>
      <c r="U59" s="153"/>
      <c r="V59" s="95" t="s">
        <v>66</v>
      </c>
      <c r="W59" s="95" t="s">
        <v>67</v>
      </c>
      <c r="X59" s="95" t="s">
        <v>68</v>
      </c>
      <c r="Y59" s="95" t="s">
        <v>69</v>
      </c>
    </row>
    <row r="60" spans="7:29" s="38" customFormat="1" ht="38.25" x14ac:dyDescent="0.2">
      <c r="H60" s="51" t="s">
        <v>31</v>
      </c>
      <c r="I60" s="52">
        <f t="shared" ref="I60:I69" si="3">$T$2</f>
        <v>81648.694480473467</v>
      </c>
      <c r="J60" s="53">
        <f>IF(I60&lt;$J$57,0,IF(SUM($I$59:I60)&lt;350000,(I60-$J$57)*13%,I60*13%))</f>
        <v>10462.982013641054</v>
      </c>
      <c r="U60" s="96" t="s">
        <v>70</v>
      </c>
      <c r="V60" s="97">
        <v>72228</v>
      </c>
      <c r="W60" s="97">
        <v>335164</v>
      </c>
      <c r="X60" s="98">
        <v>24278.479842858102</v>
      </c>
      <c r="Y60" s="98">
        <v>252523238.33000001</v>
      </c>
    </row>
    <row r="61" spans="7:29" s="38" customFormat="1" x14ac:dyDescent="0.2">
      <c r="H61" s="51" t="s">
        <v>32</v>
      </c>
      <c r="I61" s="52">
        <f t="shared" si="3"/>
        <v>81648.694480473467</v>
      </c>
      <c r="J61" s="53">
        <f>IF(I61&lt;$J$57,0,IF(SUM($I$59:I61)&lt;350000,(I61-$J$57)*13%,I61*13%))</f>
        <v>10462.982013641054</v>
      </c>
    </row>
    <row r="62" spans="7:29" s="38" customFormat="1" x14ac:dyDescent="0.2">
      <c r="H62" s="51" t="s">
        <v>33</v>
      </c>
      <c r="I62" s="52">
        <f t="shared" si="3"/>
        <v>81648.694480473467</v>
      </c>
      <c r="J62" s="53">
        <f>IF(I62&lt;$J$57,0,IF(SUM($I$59:I62)&lt;350000,(I62-$J$57)*13%,I62*13%))</f>
        <v>10462.982013641054</v>
      </c>
    </row>
    <row r="63" spans="7:29" s="38" customFormat="1" x14ac:dyDescent="0.2">
      <c r="H63" s="51" t="s">
        <v>34</v>
      </c>
      <c r="I63" s="52">
        <f t="shared" si="3"/>
        <v>81648.694480473467</v>
      </c>
      <c r="J63" s="53">
        <f>IF(I63&lt;$J$57,0,IF(SUM($I$59:I63)&lt;350000,(I63-$J$57)*13%,I63*13%))</f>
        <v>10614.330282461551</v>
      </c>
    </row>
    <row r="64" spans="7:29" s="38" customFormat="1" x14ac:dyDescent="0.2">
      <c r="H64" s="51" t="s">
        <v>35</v>
      </c>
      <c r="I64" s="52">
        <f>$T$2</f>
        <v>81648.694480473467</v>
      </c>
      <c r="J64" s="53">
        <f>IF(I64&lt;$J$57,0,IF(SUM($I$59:I64)&lt;350000,(I64-$J$57)*13%,I64*13%))</f>
        <v>10614.330282461551</v>
      </c>
      <c r="Q64" s="38">
        <v>2019</v>
      </c>
      <c r="T64" s="38">
        <v>337044086</v>
      </c>
    </row>
    <row r="65" spans="8:25" s="38" customFormat="1" x14ac:dyDescent="0.2">
      <c r="H65" s="51" t="s">
        <v>36</v>
      </c>
      <c r="I65" s="52">
        <f t="shared" si="3"/>
        <v>81648.694480473467</v>
      </c>
      <c r="J65" s="53">
        <f>IF(I65&lt;$J$57,0,IF(SUM($I$59:I65)&lt;350000,(I65-$J$57)*13%,I65*13%))</f>
        <v>10614.330282461551</v>
      </c>
      <c r="T65" s="38">
        <f>98842099.9+16482539.2+25149811.6+40868273.1+8108859.2+1854912.6</f>
        <v>191306495.59999999</v>
      </c>
    </row>
    <row r="66" spans="8:25" s="38" customFormat="1" x14ac:dyDescent="0.2">
      <c r="H66" s="51" t="s">
        <v>37</v>
      </c>
      <c r="I66" s="52">
        <f t="shared" si="3"/>
        <v>81648.694480473467</v>
      </c>
      <c r="J66" s="53">
        <f>IF(I66&lt;$J$57,0,IF(SUM($I$59:I66)&lt;350000,(I66-$J$57)*13%,I66*13%))</f>
        <v>10614.330282461551</v>
      </c>
      <c r="T66" s="38">
        <f>T65/T64*100</f>
        <v>56.760080816252625</v>
      </c>
    </row>
    <row r="67" spans="8:25" s="38" customFormat="1" x14ac:dyDescent="0.2">
      <c r="H67" s="51" t="s">
        <v>38</v>
      </c>
      <c r="I67" s="52">
        <f t="shared" si="3"/>
        <v>81648.694480473467</v>
      </c>
      <c r="J67" s="53">
        <f>IF(I67&lt;$J$57,0,IF(SUM($I$59:I67)&lt;350000,(I67-$J$57)*13%,I67*13%))</f>
        <v>10614.330282461551</v>
      </c>
    </row>
    <row r="68" spans="8:25" s="38" customFormat="1" x14ac:dyDescent="0.2">
      <c r="H68" s="51" t="s">
        <v>39</v>
      </c>
      <c r="I68" s="52">
        <f t="shared" si="3"/>
        <v>81648.694480473467</v>
      </c>
      <c r="J68" s="53">
        <f>IF(I68&lt;$J$57,0,IF(SUM($I$59:I68)&lt;350000,(I68-$J$57)*13%,I68*13%))</f>
        <v>10614.330282461551</v>
      </c>
    </row>
    <row r="69" spans="8:25" s="38" customFormat="1" x14ac:dyDescent="0.2">
      <c r="H69" s="51" t="s">
        <v>40</v>
      </c>
      <c r="I69" s="52">
        <f t="shared" si="3"/>
        <v>81648.694480473467</v>
      </c>
      <c r="J69" s="53">
        <f>IF(I69&lt;$J$57,0,IF(SUM($I$59:I69)&lt;350000,(I69-$J$57)*13%,I69*13%))</f>
        <v>10614.330282461551</v>
      </c>
    </row>
    <row r="70" spans="8:25" s="38" customFormat="1" x14ac:dyDescent="0.2">
      <c r="H70" s="51" t="s">
        <v>41</v>
      </c>
      <c r="I70" s="54">
        <f>$T$2-T5</f>
        <v>77648.694480473467</v>
      </c>
      <c r="J70" s="53">
        <f>IF(I70&lt;$J$57,0,IF(SUM($I$59:I70)&lt;350000,(I70-$J$57)*13%,I70*13%))</f>
        <v>10094.330282461551</v>
      </c>
    </row>
    <row r="71" spans="8:25" s="38" customFormat="1" x14ac:dyDescent="0.2">
      <c r="H71" s="55"/>
      <c r="I71" s="56">
        <f>I59*12*13%</f>
        <v>127371.96338953861</v>
      </c>
      <c r="J71" s="57">
        <f>SUM(J59:J70)</f>
        <v>126246.57031425663</v>
      </c>
      <c r="K71" s="38">
        <f>J71/I71</f>
        <v>0.99116451497383129</v>
      </c>
    </row>
    <row r="72" spans="8:25" s="38" customFormat="1" x14ac:dyDescent="0.2"/>
    <row r="73" spans="8:25" s="38" customFormat="1" x14ac:dyDescent="0.2">
      <c r="H73" s="41">
        <f>I10</f>
        <v>180249.95205350022</v>
      </c>
      <c r="J73" s="38">
        <f>H73/T6*1000</f>
        <v>145222.32682363858</v>
      </c>
    </row>
    <row r="74" spans="8:25" s="38" customFormat="1" ht="71.25" customHeight="1" x14ac:dyDescent="0.2">
      <c r="H74" s="146" t="s">
        <v>27</v>
      </c>
      <c r="I74" s="147"/>
      <c r="J74" s="47">
        <f>1400*J56</f>
        <v>1164.2174524653562</v>
      </c>
      <c r="K74" s="38" t="s">
        <v>120</v>
      </c>
      <c r="U74" s="109" t="s">
        <v>96</v>
      </c>
      <c r="V74" s="110" t="s">
        <v>97</v>
      </c>
      <c r="W74" s="111" t="s">
        <v>98</v>
      </c>
      <c r="X74" s="112" t="s">
        <v>99</v>
      </c>
      <c r="Y74" s="114">
        <v>321556986.89999998</v>
      </c>
    </row>
    <row r="75" spans="8:25" s="38" customFormat="1" ht="37.5" customHeight="1" x14ac:dyDescent="0.2">
      <c r="H75" s="48"/>
      <c r="I75" s="49" t="s">
        <v>28</v>
      </c>
      <c r="J75" s="50" t="s">
        <v>29</v>
      </c>
      <c r="K75" s="38" t="s">
        <v>125</v>
      </c>
      <c r="U75" s="109" t="s">
        <v>100</v>
      </c>
      <c r="V75" s="110" t="s">
        <v>97</v>
      </c>
      <c r="W75" s="111" t="s">
        <v>98</v>
      </c>
      <c r="X75" s="112" t="s">
        <v>101</v>
      </c>
      <c r="Y75" s="113">
        <v>1433078133.3299999</v>
      </c>
    </row>
    <row r="76" spans="8:25" s="38" customFormat="1" ht="42" customHeight="1" x14ac:dyDescent="0.2">
      <c r="H76" s="51" t="s">
        <v>30</v>
      </c>
      <c r="I76" s="52">
        <f>$T$7</f>
        <v>70434.002093311807</v>
      </c>
      <c r="J76" s="53">
        <f>IF(I76&lt;$J$57,0,IF(SUM($I$76:I76)&lt;350000,(I76-$J$57)*13%,I76*13%))</f>
        <v>9005.0720033100388</v>
      </c>
      <c r="U76" s="109" t="s">
        <v>102</v>
      </c>
      <c r="V76" s="110" t="s">
        <v>97</v>
      </c>
      <c r="W76" s="111" t="s">
        <v>98</v>
      </c>
      <c r="X76" s="112" t="s">
        <v>103</v>
      </c>
      <c r="Y76" s="113">
        <v>1470812634.9100001</v>
      </c>
    </row>
    <row r="77" spans="8:25" s="38" customFormat="1" ht="41.25" customHeight="1" x14ac:dyDescent="0.2">
      <c r="H77" s="51" t="s">
        <v>31</v>
      </c>
      <c r="I77" s="52">
        <f>I76</f>
        <v>70434.002093311807</v>
      </c>
      <c r="J77" s="53">
        <f>IF(I77&lt;$J$57,0,IF(SUM($I$76:I77)&lt;350000,(I77-$J$57)*13%,I77*13%))</f>
        <v>9005.0720033100388</v>
      </c>
      <c r="U77" s="109" t="s">
        <v>104</v>
      </c>
      <c r="V77" s="110" t="s">
        <v>97</v>
      </c>
      <c r="W77" s="111" t="s">
        <v>98</v>
      </c>
      <c r="X77" s="112" t="s">
        <v>105</v>
      </c>
      <c r="Y77" s="113">
        <v>4839287.88</v>
      </c>
    </row>
    <row r="78" spans="8:25" s="38" customFormat="1" ht="42.75" customHeight="1" x14ac:dyDescent="0.2">
      <c r="H78" s="51" t="s">
        <v>32</v>
      </c>
      <c r="I78" s="52">
        <f t="shared" ref="I78:I86" si="4">I77</f>
        <v>70434.002093311807</v>
      </c>
      <c r="J78" s="53">
        <f>IF(I78&lt;$J$57,0,IF(SUM($I$76:I78)&lt;350000,(I78-$J$57)*13%,I78*13%))</f>
        <v>9005.0720033100388</v>
      </c>
      <c r="U78" s="109" t="s">
        <v>106</v>
      </c>
      <c r="V78" s="110" t="s">
        <v>97</v>
      </c>
      <c r="W78" s="111" t="s">
        <v>98</v>
      </c>
      <c r="X78" s="112" t="s">
        <v>107</v>
      </c>
      <c r="Y78" s="113">
        <v>1305942.21</v>
      </c>
    </row>
    <row r="79" spans="8:25" s="38" customFormat="1" ht="31.5" customHeight="1" x14ac:dyDescent="0.2">
      <c r="H79" s="51" t="s">
        <v>33</v>
      </c>
      <c r="I79" s="52">
        <f t="shared" si="4"/>
        <v>70434.002093311807</v>
      </c>
      <c r="J79" s="53">
        <f>IF(I79&lt;$J$57,0,IF(SUM($I$76:I79)&lt;350000,(I79-$J$57)*13%,I79*13%))</f>
        <v>9005.0720033100388</v>
      </c>
      <c r="U79" s="109" t="s">
        <v>108</v>
      </c>
      <c r="V79" s="110" t="s">
        <v>97</v>
      </c>
      <c r="W79" s="111" t="s">
        <v>98</v>
      </c>
      <c r="X79" s="112" t="s">
        <v>109</v>
      </c>
      <c r="Y79" s="113">
        <v>38298373.329999998</v>
      </c>
    </row>
    <row r="80" spans="8:25" s="38" customFormat="1" ht="33.75" customHeight="1" x14ac:dyDescent="0.2">
      <c r="H80" s="51" t="s">
        <v>34</v>
      </c>
      <c r="I80" s="52">
        <f t="shared" si="4"/>
        <v>70434.002093311807</v>
      </c>
      <c r="J80" s="53">
        <f>IF(I80&lt;$J$57,0,IF(SUM($I$76:I80)&lt;350000,(I80-$J$57)*13%,I80*13%))</f>
        <v>9156.4202721305355</v>
      </c>
      <c r="U80" s="109" t="s">
        <v>110</v>
      </c>
      <c r="V80" s="110" t="s">
        <v>97</v>
      </c>
      <c r="W80" s="111" t="s">
        <v>98</v>
      </c>
      <c r="X80" s="112" t="s">
        <v>111</v>
      </c>
      <c r="Y80" s="113">
        <v>8047161.7000000002</v>
      </c>
    </row>
    <row r="81" spans="8:10" s="38" customFormat="1" x14ac:dyDescent="0.2">
      <c r="H81" s="51" t="s">
        <v>35</v>
      </c>
      <c r="I81" s="52">
        <f t="shared" si="4"/>
        <v>70434.002093311807</v>
      </c>
      <c r="J81" s="53">
        <f>IF(I81&lt;$J$57,0,IF(SUM($I$76:I81)&lt;350000,(I81-$J$57)*13%,I81*13%))</f>
        <v>9156.4202721305355</v>
      </c>
    </row>
    <row r="82" spans="8:10" s="38" customFormat="1" x14ac:dyDescent="0.2">
      <c r="H82" s="51" t="s">
        <v>36</v>
      </c>
      <c r="I82" s="52">
        <f t="shared" si="4"/>
        <v>70434.002093311807</v>
      </c>
      <c r="J82" s="53">
        <f>IF(I82&lt;$J$57,0,IF(SUM($I$76:I82)&lt;350000,(I82-$J$57)*13%,I82*13%))</f>
        <v>9156.4202721305355</v>
      </c>
    </row>
    <row r="83" spans="8:10" s="38" customFormat="1" x14ac:dyDescent="0.2">
      <c r="H83" s="51" t="s">
        <v>37</v>
      </c>
      <c r="I83" s="52">
        <f t="shared" si="4"/>
        <v>70434.002093311807</v>
      </c>
      <c r="J83" s="53">
        <f>IF(I83&lt;$J$57,0,IF(SUM($I$76:I83)&lt;350000,(I83-$J$57)*13%,I83*13%))</f>
        <v>9156.4202721305355</v>
      </c>
    </row>
    <row r="84" spans="8:10" s="38" customFormat="1" x14ac:dyDescent="0.2">
      <c r="H84" s="51" t="s">
        <v>38</v>
      </c>
      <c r="I84" s="52">
        <f t="shared" si="4"/>
        <v>70434.002093311807</v>
      </c>
      <c r="J84" s="53">
        <f>IF(I84&lt;$J$57,0,IF(SUM($I$76:I84)&lt;350000,(I84-$J$57)*13%,I84*13%))</f>
        <v>9156.4202721305355</v>
      </c>
    </row>
    <row r="85" spans="8:10" s="38" customFormat="1" x14ac:dyDescent="0.2">
      <c r="H85" s="51" t="s">
        <v>39</v>
      </c>
      <c r="I85" s="52">
        <f t="shared" si="4"/>
        <v>70434.002093311807</v>
      </c>
      <c r="J85" s="53">
        <f>IF(I85&lt;$J$57,0,IF(SUM($I$76:I85)&lt;350000,(I85-$J$57)*13%,I85*13%))</f>
        <v>9156.4202721305355</v>
      </c>
    </row>
    <row r="86" spans="8:10" s="38" customFormat="1" x14ac:dyDescent="0.2">
      <c r="H86" s="51" t="s">
        <v>40</v>
      </c>
      <c r="I86" s="52">
        <f t="shared" si="4"/>
        <v>70434.002093311807</v>
      </c>
      <c r="J86" s="53">
        <f>IF(I86&lt;$J$57,0,IF(SUM($I$76:I86)&lt;350000,(I86-$J$57)*13%,I86*13%))</f>
        <v>9156.4202721305355</v>
      </c>
    </row>
    <row r="87" spans="8:10" s="38" customFormat="1" x14ac:dyDescent="0.2">
      <c r="H87" s="51" t="s">
        <v>41</v>
      </c>
      <c r="I87" s="52">
        <f>I86-T5</f>
        <v>66434.002093311807</v>
      </c>
      <c r="J87" s="53">
        <f>IF(I87&lt;$J$57,0,IF(SUM($I$76:I87)&lt;350000,(I87-$J$57)*13%,I87*13%))</f>
        <v>8636.4202721305355</v>
      </c>
    </row>
    <row r="88" spans="8:10" s="38" customFormat="1" x14ac:dyDescent="0.2">
      <c r="H88" s="55"/>
      <c r="I88" s="56">
        <f>(I76*5+I81*7)*13%</f>
        <v>109877.04326556642</v>
      </c>
      <c r="J88" s="57">
        <f>SUM(J76:J87)</f>
        <v>108751.65019028443</v>
      </c>
    </row>
    <row r="89" spans="8:10" s="38" customFormat="1" x14ac:dyDescent="0.2"/>
    <row r="90" spans="8:10" s="38" customFormat="1" x14ac:dyDescent="0.2">
      <c r="J90" s="38">
        <f>J88*T11/1000</f>
        <v>12771.650808761635</v>
      </c>
    </row>
    <row r="91" spans="8:10" s="38" customFormat="1" x14ac:dyDescent="0.2"/>
    <row r="92" spans="8:10" s="38" customFormat="1" x14ac:dyDescent="0.2"/>
    <row r="93" spans="8:10" s="38" customFormat="1" x14ac:dyDescent="0.2"/>
    <row r="94" spans="8:10" s="38" customFormat="1" x14ac:dyDescent="0.2"/>
    <row r="95" spans="8:10" s="38" customFormat="1" x14ac:dyDescent="0.2"/>
    <row r="96" spans="8:10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</sheetData>
  <mergeCells count="43">
    <mergeCell ref="U57:Y57"/>
    <mergeCell ref="U58:U59"/>
    <mergeCell ref="V58:Y58"/>
    <mergeCell ref="H74:I74"/>
    <mergeCell ref="I46:K46"/>
    <mergeCell ref="L46:N46"/>
    <mergeCell ref="P46:Q46"/>
    <mergeCell ref="G47:G48"/>
    <mergeCell ref="L48:N48"/>
    <mergeCell ref="H57:I57"/>
    <mergeCell ref="I44:K44"/>
    <mergeCell ref="L44:N44"/>
    <mergeCell ref="P44:Q44"/>
    <mergeCell ref="I45:K45"/>
    <mergeCell ref="L45:N45"/>
    <mergeCell ref="P45:Q45"/>
    <mergeCell ref="I42:K42"/>
    <mergeCell ref="L42:N42"/>
    <mergeCell ref="P42:Q42"/>
    <mergeCell ref="I43:K43"/>
    <mergeCell ref="L43:N43"/>
    <mergeCell ref="P43:Q43"/>
    <mergeCell ref="I40:K40"/>
    <mergeCell ref="L40:N40"/>
    <mergeCell ref="P40:Q40"/>
    <mergeCell ref="I41:K41"/>
    <mergeCell ref="L41:N41"/>
    <mergeCell ref="P41:Q41"/>
    <mergeCell ref="T28:T29"/>
    <mergeCell ref="U28:W29"/>
    <mergeCell ref="H29:H32"/>
    <mergeCell ref="I29:I32"/>
    <mergeCell ref="AD29:AD30"/>
    <mergeCell ref="R30:R31"/>
    <mergeCell ref="S30:S31"/>
    <mergeCell ref="T30:T31"/>
    <mergeCell ref="L21:L35"/>
    <mergeCell ref="G2:Q2"/>
    <mergeCell ref="P6:Q6"/>
    <mergeCell ref="L7:L20"/>
    <mergeCell ref="H12:H13"/>
    <mergeCell ref="N16:Q16"/>
    <mergeCell ref="N20:O20"/>
  </mergeCells>
  <printOptions horizontalCentered="1"/>
  <pageMargins left="0.18" right="0.17" top="0.25" bottom="0.2" header="0.19" footer="0.17"/>
  <pageSetup paperSize="9" scale="94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N196"/>
  <sheetViews>
    <sheetView topLeftCell="F2" workbookViewId="0">
      <selection activeCell="T8" sqref="T8"/>
    </sheetView>
  </sheetViews>
  <sheetFormatPr defaultColWidth="9.1640625" defaultRowHeight="12.75" x14ac:dyDescent="0.2"/>
  <cols>
    <col min="1" max="6" width="9.1640625" style="38"/>
    <col min="7" max="7" width="18.83203125" style="2" customWidth="1"/>
    <col min="8" max="8" width="35.33203125" style="2" customWidth="1"/>
    <col min="9" max="9" width="13.83203125" style="2" customWidth="1"/>
    <col min="10" max="10" width="11.83203125" style="2" customWidth="1"/>
    <col min="11" max="11" width="5.5" style="2" customWidth="1"/>
    <col min="12" max="12" width="16.1640625" style="2" customWidth="1"/>
    <col min="13" max="13" width="1.6640625" style="2" customWidth="1"/>
    <col min="14" max="14" width="14.1640625" style="2" customWidth="1"/>
    <col min="15" max="15" width="36.5" style="2" customWidth="1"/>
    <col min="16" max="16" width="7.83203125" style="2" customWidth="1"/>
    <col min="17" max="17" width="14" style="2" customWidth="1"/>
    <col min="18" max="18" width="15.6640625" style="38" customWidth="1"/>
    <col min="19" max="19" width="13.1640625" style="38" customWidth="1"/>
    <col min="20" max="20" width="15" style="38" customWidth="1"/>
    <col min="21" max="21" width="11" style="38" customWidth="1"/>
    <col min="22" max="22" width="9.1640625" style="38" customWidth="1"/>
    <col min="23" max="23" width="12.83203125" style="38" customWidth="1"/>
    <col min="24" max="28" width="9.1640625" style="38" customWidth="1"/>
    <col min="29" max="29" width="10.5" style="38" customWidth="1"/>
    <col min="30" max="30" width="14.1640625" style="38" customWidth="1"/>
    <col min="31" max="32" width="10.5" style="38" customWidth="1"/>
    <col min="33" max="34" width="9.1640625" style="38" customWidth="1"/>
    <col min="35" max="66" width="9.1640625" style="38"/>
    <col min="67" max="16384" width="9.1640625" style="2"/>
  </cols>
  <sheetData>
    <row r="1" spans="7:66" ht="15" hidden="1" customHeight="1" x14ac:dyDescent="0.25">
      <c r="Q1" s="2" t="s">
        <v>0</v>
      </c>
      <c r="R1" s="37"/>
    </row>
    <row r="2" spans="7:66" ht="16.5" thickTop="1" x14ac:dyDescent="0.25">
      <c r="G2" s="218" t="s">
        <v>1</v>
      </c>
      <c r="H2" s="219"/>
      <c r="I2" s="219"/>
      <c r="J2" s="219"/>
      <c r="K2" s="219"/>
      <c r="L2" s="219"/>
      <c r="M2" s="219"/>
      <c r="N2" s="219"/>
      <c r="O2" s="219"/>
      <c r="P2" s="219"/>
      <c r="Q2" s="220"/>
      <c r="R2" s="129"/>
      <c r="T2" s="119">
        <v>52088.6</v>
      </c>
      <c r="U2" s="116" t="s">
        <v>75</v>
      </c>
      <c r="V2" s="102"/>
      <c r="W2" s="102"/>
      <c r="X2" s="102"/>
      <c r="Y2" s="102"/>
      <c r="Z2" s="102"/>
      <c r="AA2" s="103"/>
    </row>
    <row r="3" spans="7:66" ht="12.75" hidden="1" customHeight="1" x14ac:dyDescent="0.2">
      <c r="G3" s="60"/>
      <c r="H3" s="118"/>
      <c r="I3" s="118"/>
      <c r="J3" s="118"/>
      <c r="K3" s="118"/>
      <c r="N3" s="118"/>
      <c r="O3" s="4"/>
      <c r="P3" s="4"/>
      <c r="Q3" s="61"/>
      <c r="R3" s="129"/>
      <c r="S3" s="39"/>
      <c r="T3" s="120"/>
      <c r="AA3" s="104"/>
    </row>
    <row r="4" spans="7:66" ht="3.75" hidden="1" customHeight="1" x14ac:dyDescent="0.2">
      <c r="G4" s="62"/>
      <c r="Q4" s="63"/>
      <c r="R4" s="129"/>
      <c r="T4" s="120"/>
      <c r="AA4" s="104"/>
    </row>
    <row r="5" spans="7:66" ht="13.5" customHeight="1" x14ac:dyDescent="0.25">
      <c r="G5" s="64"/>
      <c r="H5" s="4"/>
      <c r="J5" s="5"/>
      <c r="Q5" s="65"/>
      <c r="R5" s="129"/>
      <c r="T5" s="121">
        <v>4000</v>
      </c>
      <c r="U5" s="105" t="s">
        <v>117</v>
      </c>
      <c r="V5" s="105"/>
      <c r="W5" s="105"/>
      <c r="X5" s="105"/>
      <c r="Y5" s="105"/>
      <c r="Z5" s="105"/>
      <c r="AA5" s="106"/>
      <c r="AB5" s="38">
        <f>T2*T6*12/1000</f>
        <v>1239360.0676678631</v>
      </c>
    </row>
    <row r="6" spans="7:66" ht="36" customHeight="1" x14ac:dyDescent="0.2">
      <c r="G6" s="62"/>
      <c r="J6" s="1"/>
      <c r="P6" s="225" t="s">
        <v>74</v>
      </c>
      <c r="Q6" s="226"/>
      <c r="R6" s="129"/>
      <c r="T6" s="134">
        <v>1982.7756099988981</v>
      </c>
      <c r="U6" s="131" t="s">
        <v>126</v>
      </c>
      <c r="V6" s="131"/>
      <c r="W6" s="131"/>
      <c r="X6" s="131"/>
      <c r="Y6" s="131"/>
      <c r="Z6" s="131"/>
      <c r="AA6" s="131"/>
      <c r="AB6" s="93"/>
      <c r="AC6" s="93"/>
      <c r="AD6" s="93"/>
      <c r="AF6" s="93"/>
      <c r="AH6" s="93"/>
      <c r="AJ6" s="93"/>
      <c r="AL6" s="93"/>
      <c r="AN6" s="93"/>
      <c r="AP6" s="93"/>
      <c r="AR6" s="93"/>
      <c r="AT6" s="93"/>
      <c r="AV6" s="93"/>
      <c r="AX6" s="93"/>
      <c r="AZ6" s="93"/>
      <c r="BB6" s="93"/>
      <c r="BD6" s="93"/>
      <c r="BF6" s="93"/>
      <c r="BH6" s="93"/>
      <c r="BJ6" s="93"/>
      <c r="BL6" s="93"/>
      <c r="BN6" s="93"/>
    </row>
    <row r="7" spans="7:66" ht="12.75" customHeight="1" x14ac:dyDescent="0.25">
      <c r="G7" s="62"/>
      <c r="L7" s="206" t="s">
        <v>3</v>
      </c>
      <c r="N7" s="6" t="s">
        <v>4</v>
      </c>
      <c r="O7" s="6"/>
      <c r="P7" s="6"/>
      <c r="Q7" s="66">
        <f>SUM(Q9:Q13)</f>
        <v>280762.92980000004</v>
      </c>
      <c r="R7" s="129"/>
      <c r="S7" s="40"/>
      <c r="T7" s="122">
        <f>T2*T8</f>
        <v>44934.075000000004</v>
      </c>
      <c r="U7" s="102" t="s">
        <v>123</v>
      </c>
      <c r="V7" s="102"/>
      <c r="W7" s="102"/>
      <c r="X7" s="102"/>
      <c r="Y7" s="102"/>
      <c r="Z7" s="102"/>
      <c r="AA7" s="107"/>
      <c r="AB7" s="93"/>
      <c r="AC7" s="93"/>
      <c r="AD7" s="93"/>
      <c r="AF7" s="93"/>
      <c r="AH7" s="93"/>
      <c r="AJ7" s="93"/>
      <c r="AL7" s="93"/>
      <c r="AN7" s="93"/>
      <c r="AP7" s="93"/>
      <c r="AR7" s="93"/>
      <c r="AT7" s="93"/>
      <c r="AV7" s="93"/>
      <c r="AX7" s="93"/>
      <c r="AZ7" s="93"/>
      <c r="BB7" s="93"/>
      <c r="BD7" s="93"/>
      <c r="BF7" s="93"/>
      <c r="BH7" s="93"/>
      <c r="BJ7" s="93"/>
      <c r="BL7" s="93"/>
      <c r="BN7" s="93"/>
    </row>
    <row r="8" spans="7:66" ht="12.75" customHeight="1" x14ac:dyDescent="0.2">
      <c r="G8" s="67"/>
      <c r="I8" s="2" t="s">
        <v>2</v>
      </c>
      <c r="L8" s="206"/>
      <c r="N8" s="2" t="s">
        <v>5</v>
      </c>
      <c r="Q8" s="63"/>
      <c r="R8" s="129"/>
      <c r="S8" s="43"/>
      <c r="T8" s="124">
        <v>0.86264700913443648</v>
      </c>
      <c r="U8" s="105" t="s">
        <v>122</v>
      </c>
      <c r="V8" s="105"/>
      <c r="W8" s="105"/>
      <c r="X8" s="105">
        <f>AF25/T2</f>
        <v>0.86264700913443648</v>
      </c>
      <c r="Y8" s="142"/>
      <c r="Z8" s="43"/>
      <c r="AA8" s="108"/>
      <c r="AB8" s="93"/>
      <c r="AC8" s="93"/>
      <c r="AD8" s="93"/>
      <c r="AF8" s="93"/>
      <c r="AH8" s="93"/>
      <c r="AJ8" s="93"/>
      <c r="AL8" s="93"/>
      <c r="AN8" s="93"/>
      <c r="AP8" s="93"/>
      <c r="AR8" s="93"/>
      <c r="AT8" s="93"/>
      <c r="AV8" s="93"/>
      <c r="AX8" s="93"/>
      <c r="AZ8" s="93"/>
      <c r="BB8" s="93"/>
      <c r="BD8" s="93"/>
      <c r="BF8" s="93"/>
      <c r="BH8" s="93"/>
      <c r="BJ8" s="93"/>
      <c r="BL8" s="93"/>
      <c r="BN8" s="93"/>
    </row>
    <row r="9" spans="7:66" ht="15" x14ac:dyDescent="0.25">
      <c r="G9" s="68" t="s">
        <v>6</v>
      </c>
      <c r="L9" s="206"/>
      <c r="N9" s="9" t="s">
        <v>7</v>
      </c>
      <c r="O9" s="9"/>
      <c r="P9" s="9"/>
      <c r="Q9" s="69">
        <f>'Консолид_бюджет(текущ)'!Q9</f>
        <v>140718.15400000001</v>
      </c>
      <c r="R9" s="129"/>
      <c r="T9" s="123">
        <v>394</v>
      </c>
      <c r="U9" s="38" t="s">
        <v>89</v>
      </c>
      <c r="Z9" s="43"/>
      <c r="AA9" s="108"/>
      <c r="AB9" s="93"/>
      <c r="AD9" s="93"/>
      <c r="AE9" s="93"/>
      <c r="AF9" s="93"/>
      <c r="AH9" s="93"/>
      <c r="AJ9" s="93"/>
      <c r="AL9" s="93"/>
      <c r="AN9" s="93"/>
      <c r="AP9" s="93"/>
      <c r="AR9" s="93"/>
      <c r="AT9" s="93"/>
      <c r="AV9" s="93"/>
      <c r="AX9" s="93"/>
      <c r="AZ9" s="93"/>
      <c r="BB9" s="93"/>
      <c r="BD9" s="93"/>
      <c r="BF9" s="93"/>
      <c r="BH9" s="93"/>
      <c r="BJ9" s="93"/>
      <c r="BL9" s="93"/>
      <c r="BN9" s="93"/>
    </row>
    <row r="10" spans="7:66" ht="15" x14ac:dyDescent="0.25">
      <c r="G10" s="70"/>
      <c r="H10" s="6" t="s">
        <v>8</v>
      </c>
      <c r="I10" s="10">
        <f>((J71*T6+T11*J88)*T17/1000+T2*T42*15%*T37*12/1000000+T51*13%*T46*12/1000000)</f>
        <v>178399.19182303906</v>
      </c>
      <c r="L10" s="206"/>
      <c r="N10" s="9" t="s">
        <v>71</v>
      </c>
      <c r="O10" s="9"/>
      <c r="P10" s="9"/>
      <c r="Q10" s="69">
        <f>'Консолид_бюджет(текущ)'!Q10</f>
        <v>43180.132700000002</v>
      </c>
      <c r="R10" s="129"/>
      <c r="T10" s="123">
        <v>98.861000000000004</v>
      </c>
      <c r="U10" s="38" t="s">
        <v>94</v>
      </c>
      <c r="AA10" s="108"/>
      <c r="AB10" s="93" t="s">
        <v>77</v>
      </c>
      <c r="AC10" s="99">
        <v>55575</v>
      </c>
      <c r="AD10" s="38" t="s">
        <v>78</v>
      </c>
      <c r="AE10" s="99">
        <v>66018.5</v>
      </c>
      <c r="AF10" s="93" t="s">
        <v>79</v>
      </c>
      <c r="AH10" s="93"/>
      <c r="AJ10" s="93"/>
      <c r="AL10" s="93"/>
      <c r="AN10" s="93"/>
      <c r="AP10" s="93"/>
      <c r="AR10" s="93"/>
      <c r="AT10" s="93"/>
      <c r="AV10" s="93"/>
      <c r="AX10" s="93"/>
      <c r="AZ10" s="93"/>
      <c r="BB10" s="93"/>
      <c r="BD10" s="93"/>
      <c r="BF10" s="93"/>
      <c r="BH10" s="93"/>
      <c r="BJ10" s="93"/>
      <c r="BL10" s="93"/>
      <c r="BN10" s="93"/>
    </row>
    <row r="11" spans="7:66" ht="13.5" x14ac:dyDescent="0.25">
      <c r="G11" s="70"/>
      <c r="H11" s="6"/>
      <c r="I11" s="10"/>
      <c r="L11" s="206"/>
      <c r="N11" s="9" t="s">
        <v>72</v>
      </c>
      <c r="O11" s="9"/>
      <c r="P11" s="9"/>
      <c r="Q11" s="69">
        <f>'Консолид_бюджет(текущ)'!Q11</f>
        <v>14588.1214</v>
      </c>
      <c r="R11" s="129"/>
      <c r="T11" s="120">
        <f>AE10/AC10*T10</f>
        <v>117.43868517318938</v>
      </c>
      <c r="U11" s="38" t="s">
        <v>119</v>
      </c>
      <c r="AA11" s="108"/>
      <c r="AB11" s="93"/>
      <c r="AC11" s="93"/>
      <c r="AD11" s="93"/>
      <c r="AE11" s="93"/>
      <c r="AF11" s="93"/>
      <c r="AH11" s="93"/>
      <c r="AJ11" s="93"/>
      <c r="AL11" s="93"/>
      <c r="AN11" s="93"/>
      <c r="AP11" s="93"/>
      <c r="AR11" s="93"/>
      <c r="AT11" s="93"/>
      <c r="AV11" s="93"/>
      <c r="AX11" s="93"/>
      <c r="AZ11" s="93"/>
      <c r="BB11" s="93"/>
      <c r="BD11" s="93"/>
      <c r="BF11" s="93"/>
      <c r="BH11" s="93"/>
      <c r="BJ11" s="93"/>
      <c r="BL11" s="93"/>
      <c r="BN11" s="93"/>
    </row>
    <row r="12" spans="7:66" ht="13.5" customHeight="1" x14ac:dyDescent="0.25">
      <c r="G12" s="67"/>
      <c r="H12" s="221" t="s">
        <v>47</v>
      </c>
      <c r="I12" s="8"/>
      <c r="L12" s="206"/>
      <c r="N12" s="9" t="s">
        <v>42</v>
      </c>
      <c r="O12" s="9"/>
      <c r="P12" s="9"/>
      <c r="Q12" s="69">
        <f>'Консолид_бюджет(текущ)'!Q12</f>
        <v>25658.8986</v>
      </c>
      <c r="R12" s="129"/>
      <c r="T12" s="124">
        <f>T10*AF25*12*6%</f>
        <v>3198403.8637740002</v>
      </c>
      <c r="U12" s="105" t="s">
        <v>95</v>
      </c>
      <c r="V12" s="105"/>
      <c r="W12" s="105"/>
      <c r="X12" s="105"/>
      <c r="Y12" s="105"/>
      <c r="Z12" s="105"/>
      <c r="AA12" s="115"/>
      <c r="AB12" s="93"/>
      <c r="AC12" s="93"/>
      <c r="AD12" s="93"/>
      <c r="AF12" s="93" t="s">
        <v>80</v>
      </c>
      <c r="AH12" s="93"/>
      <c r="AJ12" s="93"/>
      <c r="AL12" s="93"/>
      <c r="AN12" s="93"/>
      <c r="AP12" s="93"/>
      <c r="AR12" s="93"/>
      <c r="AT12" s="93"/>
      <c r="AV12" s="93"/>
      <c r="AX12" s="93"/>
      <c r="AZ12" s="93"/>
      <c r="BB12" s="93"/>
      <c r="BD12" s="93"/>
      <c r="BF12" s="93"/>
      <c r="BH12" s="93"/>
      <c r="BJ12" s="93"/>
      <c r="BL12" s="93"/>
      <c r="BN12" s="93"/>
    </row>
    <row r="13" spans="7:66" ht="13.5" customHeight="1" x14ac:dyDescent="0.25">
      <c r="G13" s="70"/>
      <c r="H13" s="221"/>
      <c r="I13" s="10">
        <f>T12/1000+T33/1000</f>
        <v>3214.9325637739998</v>
      </c>
      <c r="L13" s="206"/>
      <c r="N13" s="9" t="s">
        <v>73</v>
      </c>
      <c r="O13" s="9"/>
      <c r="P13" s="9"/>
      <c r="Q13" s="69">
        <f>'Консолид_бюджет(текущ)'!Q13</f>
        <v>56617.623099999997</v>
      </c>
      <c r="R13" s="129"/>
      <c r="T13" s="125"/>
      <c r="AA13" s="93"/>
      <c r="AB13" s="93"/>
      <c r="AC13" s="93"/>
      <c r="AD13" s="93"/>
      <c r="AF13" s="100">
        <v>36862</v>
      </c>
      <c r="AH13" s="93"/>
      <c r="AJ13" s="93"/>
      <c r="AL13" s="93"/>
      <c r="AN13" s="93"/>
      <c r="AP13" s="93"/>
      <c r="AR13" s="93"/>
      <c r="AT13" s="93"/>
      <c r="AV13" s="93"/>
      <c r="AX13" s="93"/>
      <c r="AZ13" s="93"/>
      <c r="BB13" s="93"/>
      <c r="BD13" s="93"/>
      <c r="BF13" s="93"/>
      <c r="BH13" s="93"/>
      <c r="BJ13" s="93"/>
      <c r="BL13" s="93"/>
      <c r="BN13" s="93"/>
    </row>
    <row r="14" spans="7:66" ht="7.5" customHeight="1" x14ac:dyDescent="0.25">
      <c r="G14" s="62"/>
      <c r="H14" s="11"/>
      <c r="I14" s="8"/>
      <c r="L14" s="206"/>
      <c r="N14" s="9"/>
      <c r="O14" s="6"/>
      <c r="P14" s="6"/>
      <c r="Q14" s="71"/>
      <c r="R14" s="129"/>
      <c r="T14" s="125"/>
      <c r="AA14" s="93"/>
      <c r="AB14" s="93"/>
      <c r="AC14" s="93"/>
      <c r="AD14" s="93"/>
      <c r="AF14" s="100">
        <f>AF13</f>
        <v>36862</v>
      </c>
      <c r="AH14" s="93"/>
      <c r="AJ14" s="93"/>
      <c r="AL14" s="93"/>
      <c r="AN14" s="93"/>
      <c r="AP14" s="93"/>
      <c r="AR14" s="93"/>
      <c r="AT14" s="93"/>
      <c r="AV14" s="93"/>
      <c r="AX14" s="93"/>
      <c r="AZ14" s="93"/>
      <c r="BB14" s="93"/>
      <c r="BD14" s="93"/>
      <c r="BF14" s="93"/>
      <c r="BH14" s="93"/>
      <c r="BJ14" s="93"/>
      <c r="BL14" s="93"/>
      <c r="BN14" s="93"/>
    </row>
    <row r="15" spans="7:66" ht="6.75" customHeight="1" x14ac:dyDescent="0.2">
      <c r="G15" s="62"/>
      <c r="H15" s="7"/>
      <c r="I15" s="8"/>
      <c r="L15" s="206"/>
      <c r="Q15" s="63"/>
      <c r="R15" s="129"/>
      <c r="T15" s="125"/>
      <c r="AA15" s="93"/>
      <c r="AB15" s="93"/>
      <c r="AC15" s="93"/>
      <c r="AD15" s="93"/>
      <c r="AF15" s="100">
        <f>AF14</f>
        <v>36862</v>
      </c>
      <c r="AH15" s="93"/>
      <c r="AJ15" s="93"/>
      <c r="AL15" s="93"/>
      <c r="AN15" s="93"/>
      <c r="AP15" s="93"/>
      <c r="AR15" s="93"/>
      <c r="AT15" s="93"/>
      <c r="AV15" s="93"/>
      <c r="AX15" s="93"/>
      <c r="AZ15" s="93"/>
      <c r="BB15" s="93"/>
      <c r="BD15" s="93"/>
      <c r="BF15" s="93"/>
      <c r="BH15" s="93"/>
      <c r="BJ15" s="93"/>
      <c r="BL15" s="93"/>
      <c r="BN15" s="93"/>
    </row>
    <row r="16" spans="7:66" ht="17.25" customHeight="1" thickBot="1" x14ac:dyDescent="0.3">
      <c r="G16" s="70"/>
      <c r="H16" s="5" t="s">
        <v>87</v>
      </c>
      <c r="I16" s="7"/>
      <c r="L16" s="206"/>
      <c r="N16" s="222" t="s">
        <v>56</v>
      </c>
      <c r="O16" s="223"/>
      <c r="P16" s="223"/>
      <c r="Q16" s="224"/>
      <c r="R16" s="129"/>
      <c r="T16" s="122">
        <v>99124</v>
      </c>
      <c r="U16" s="102" t="s">
        <v>121</v>
      </c>
      <c r="V16" s="102"/>
      <c r="W16" s="102"/>
      <c r="X16" s="102"/>
      <c r="Y16" s="102"/>
      <c r="Z16" s="102"/>
      <c r="AA16" s="102"/>
      <c r="AB16" s="103"/>
      <c r="AC16" s="93"/>
      <c r="AD16" s="93"/>
      <c r="AF16" s="100">
        <v>45365</v>
      </c>
      <c r="AH16" s="93"/>
      <c r="AJ16" s="93"/>
      <c r="AL16" s="93"/>
      <c r="AN16" s="93"/>
      <c r="AP16" s="93"/>
      <c r="AR16" s="93"/>
      <c r="AT16" s="93"/>
      <c r="AV16" s="93"/>
      <c r="AX16" s="93"/>
      <c r="AZ16" s="93"/>
      <c r="BB16" s="93"/>
      <c r="BD16" s="93"/>
      <c r="BF16" s="93"/>
      <c r="BH16" s="93"/>
      <c r="BJ16" s="93"/>
      <c r="BL16" s="93"/>
      <c r="BN16" s="93"/>
    </row>
    <row r="17" spans="7:66" ht="14.25" customHeight="1" x14ac:dyDescent="0.25">
      <c r="G17" s="72"/>
      <c r="H17" s="5" t="s">
        <v>88</v>
      </c>
      <c r="I17" s="10">
        <f>T2*(2.9%+5.1%)*12*T6/1000</f>
        <v>99148.805413429029</v>
      </c>
      <c r="L17" s="206"/>
      <c r="N17" s="27"/>
      <c r="O17" s="28" t="s">
        <v>76</v>
      </c>
      <c r="P17" s="28"/>
      <c r="Q17" s="73">
        <f>ROUND(T2,1)</f>
        <v>52088.6</v>
      </c>
      <c r="R17" s="129"/>
      <c r="T17" s="124">
        <v>0.92525296006285551</v>
      </c>
      <c r="U17" s="105" t="s">
        <v>122</v>
      </c>
      <c r="V17" s="105"/>
      <c r="W17" s="105"/>
      <c r="X17" s="105">
        <f>T16/((T6*J71+T11*J88)/1000)</f>
        <v>0.59337280102314105</v>
      </c>
      <c r="Y17" s="105"/>
      <c r="Z17" s="105"/>
      <c r="AA17" s="105"/>
      <c r="AB17" s="106"/>
      <c r="AC17" s="93"/>
      <c r="AD17" s="93"/>
      <c r="AF17" s="100">
        <f t="shared" ref="AF17:AF18" si="0">AF16</f>
        <v>45365</v>
      </c>
      <c r="AH17" s="93"/>
      <c r="AJ17" s="93"/>
      <c r="AL17" s="93"/>
      <c r="AN17" s="93"/>
      <c r="AP17" s="93"/>
      <c r="AR17" s="93"/>
      <c r="AT17" s="93"/>
      <c r="AV17" s="93"/>
      <c r="AX17" s="93"/>
      <c r="AZ17" s="93"/>
      <c r="BB17" s="93"/>
      <c r="BD17" s="93"/>
      <c r="BF17" s="93"/>
      <c r="BH17" s="93"/>
      <c r="BJ17" s="93"/>
      <c r="BL17" s="93"/>
      <c r="BN17" s="93"/>
    </row>
    <row r="18" spans="7:66" ht="3" customHeight="1" x14ac:dyDescent="0.2">
      <c r="G18" s="67"/>
      <c r="H18" s="5"/>
      <c r="L18" s="206"/>
      <c r="N18" s="29"/>
      <c r="Q18" s="74"/>
      <c r="R18" s="129"/>
      <c r="T18" s="126"/>
      <c r="U18" s="102"/>
      <c r="V18" s="102"/>
      <c r="W18" s="102"/>
      <c r="X18" s="102"/>
      <c r="Y18" s="102"/>
      <c r="Z18" s="102"/>
      <c r="AA18" s="102"/>
      <c r="AB18" s="103"/>
      <c r="AD18" s="93"/>
      <c r="AF18" s="100">
        <f t="shared" si="0"/>
        <v>45365</v>
      </c>
      <c r="AH18" s="93"/>
      <c r="AJ18" s="93"/>
      <c r="AL18" s="93"/>
      <c r="AN18" s="93"/>
      <c r="AP18" s="93"/>
      <c r="AR18" s="93"/>
      <c r="AT18" s="93"/>
      <c r="AV18" s="93"/>
      <c r="AX18" s="93"/>
      <c r="AZ18" s="93"/>
      <c r="BB18" s="93"/>
      <c r="BD18" s="93"/>
      <c r="BF18" s="93"/>
      <c r="BH18" s="93"/>
      <c r="BJ18" s="93"/>
      <c r="BL18" s="93"/>
      <c r="BN18" s="93"/>
    </row>
    <row r="19" spans="7:66" ht="15" x14ac:dyDescent="0.25">
      <c r="G19" s="70"/>
      <c r="H19" s="6"/>
      <c r="I19" s="4" t="s">
        <v>9</v>
      </c>
      <c r="J19" s="12">
        <f>I10+I13+I17</f>
        <v>280762.92980024207</v>
      </c>
      <c r="L19" s="206"/>
      <c r="N19" s="29"/>
      <c r="O19" s="13" t="s">
        <v>86</v>
      </c>
      <c r="P19" s="13"/>
      <c r="Q19" s="74">
        <f>ROUND(T6,1)</f>
        <v>1982.8</v>
      </c>
      <c r="R19" s="129"/>
      <c r="T19" s="123">
        <v>241.55799999999999</v>
      </c>
      <c r="U19" s="38" t="s">
        <v>90</v>
      </c>
      <c r="AA19" s="93"/>
      <c r="AB19" s="108"/>
      <c r="AC19" s="93"/>
      <c r="AD19" s="93"/>
      <c r="AF19" s="100">
        <v>44973</v>
      </c>
      <c r="AH19" s="93"/>
      <c r="AJ19" s="93"/>
      <c r="AL19" s="93"/>
      <c r="AN19" s="93"/>
      <c r="AP19" s="93"/>
      <c r="AR19" s="93"/>
      <c r="AT19" s="93"/>
      <c r="AV19" s="93"/>
      <c r="AX19" s="93"/>
      <c r="AZ19" s="93"/>
      <c r="BB19" s="93"/>
      <c r="BD19" s="93"/>
      <c r="BF19" s="93"/>
      <c r="BH19" s="93"/>
      <c r="BJ19" s="93"/>
      <c r="BL19" s="93"/>
      <c r="BN19" s="93"/>
    </row>
    <row r="20" spans="7:66" ht="18" customHeight="1" thickBot="1" x14ac:dyDescent="0.3">
      <c r="G20" s="67"/>
      <c r="H20" s="6"/>
      <c r="I20" s="10"/>
      <c r="J20" s="7"/>
      <c r="L20" s="206"/>
      <c r="N20" s="210" t="s">
        <v>15</v>
      </c>
      <c r="O20" s="211"/>
      <c r="P20" s="30"/>
      <c r="Q20" s="75">
        <f>Q7-J19</f>
        <v>-2.4202745407819748E-7</v>
      </c>
      <c r="R20" s="129"/>
      <c r="T20" s="120">
        <f>T6+T19</f>
        <v>2224.3336099988983</v>
      </c>
      <c r="U20" s="38" t="s">
        <v>61</v>
      </c>
      <c r="AA20" s="93"/>
      <c r="AB20" s="108"/>
      <c r="AC20" s="94"/>
      <c r="AF20" s="100">
        <f t="shared" ref="AF20:AF21" si="1">AF19</f>
        <v>44973</v>
      </c>
    </row>
    <row r="21" spans="7:66" ht="6.75" customHeight="1" x14ac:dyDescent="0.2">
      <c r="G21" s="67"/>
      <c r="H21" s="6"/>
      <c r="L21" s="182" t="s">
        <v>10</v>
      </c>
      <c r="N21" s="132"/>
      <c r="O21" s="132"/>
      <c r="P21" s="132"/>
      <c r="Q21" s="133"/>
      <c r="R21" s="129"/>
      <c r="T21" s="120"/>
      <c r="AB21" s="104"/>
      <c r="AF21" s="100">
        <f t="shared" si="1"/>
        <v>44973</v>
      </c>
    </row>
    <row r="22" spans="7:66" ht="16.5" customHeight="1" x14ac:dyDescent="0.2">
      <c r="G22" s="67"/>
      <c r="H22" s="6" t="s">
        <v>11</v>
      </c>
      <c r="I22" s="58">
        <f>'Консолид_бюджет(текущ)'!I22</f>
        <v>166083.99904143999</v>
      </c>
      <c r="L22" s="183"/>
      <c r="N22" s="132"/>
      <c r="O22" s="132"/>
      <c r="P22" s="132"/>
      <c r="Q22" s="133"/>
      <c r="R22" s="129"/>
      <c r="T22" s="120">
        <v>2431.35</v>
      </c>
      <c r="U22" s="38" t="s">
        <v>81</v>
      </c>
      <c r="AB22" s="104"/>
      <c r="AF22" s="100">
        <v>52536.3</v>
      </c>
    </row>
    <row r="23" spans="7:66" ht="17.25" customHeight="1" x14ac:dyDescent="0.2">
      <c r="G23" s="67"/>
      <c r="H23" s="6" t="s">
        <v>43</v>
      </c>
      <c r="I23" s="58">
        <f>'Консолид_бюджет(текущ)'!I23</f>
        <v>18793.552486085999</v>
      </c>
      <c r="L23" s="183"/>
      <c r="N23" s="132"/>
      <c r="O23" s="132"/>
      <c r="P23" s="132"/>
      <c r="Q23" s="133"/>
      <c r="R23" s="129"/>
      <c r="T23" s="124"/>
      <c r="U23" s="105"/>
      <c r="V23" s="105"/>
      <c r="W23" s="105"/>
      <c r="X23" s="105"/>
      <c r="Y23" s="105"/>
      <c r="Z23" s="105"/>
      <c r="AA23" s="105"/>
      <c r="AB23" s="106"/>
      <c r="AF23" s="100">
        <f t="shared" ref="AF23:AF24" si="2">AF22</f>
        <v>52536.3</v>
      </c>
    </row>
    <row r="24" spans="7:66" ht="6.75" customHeight="1" x14ac:dyDescent="0.2">
      <c r="G24" s="67"/>
      <c r="H24" s="6"/>
      <c r="I24" s="58"/>
      <c r="L24" s="183"/>
      <c r="N24" s="132"/>
      <c r="O24" s="132"/>
      <c r="P24" s="132"/>
      <c r="Q24" s="133"/>
      <c r="R24" s="129"/>
      <c r="T24" s="125"/>
      <c r="AF24" s="100">
        <f t="shared" si="2"/>
        <v>52536.3</v>
      </c>
    </row>
    <row r="25" spans="7:66" ht="15" x14ac:dyDescent="0.25">
      <c r="G25" s="67"/>
      <c r="H25" s="6" t="s">
        <v>12</v>
      </c>
      <c r="I25" s="58">
        <f>'Консолид_бюджет(текущ)'!I25</f>
        <v>51630.810465069997</v>
      </c>
      <c r="L25" s="183"/>
      <c r="N25" s="132"/>
      <c r="O25" s="132"/>
      <c r="P25" s="132"/>
      <c r="Q25" s="133"/>
      <c r="R25" s="129"/>
      <c r="T25" s="122">
        <v>275.60199999999998</v>
      </c>
      <c r="U25" s="102" t="s">
        <v>82</v>
      </c>
      <c r="V25" s="102"/>
      <c r="W25" s="102"/>
      <c r="X25" s="103"/>
      <c r="AF25" s="101">
        <f>AVERAGE(AF13:AF24)</f>
        <v>44934.075000000004</v>
      </c>
    </row>
    <row r="26" spans="7:66" ht="6.75" customHeight="1" x14ac:dyDescent="0.2">
      <c r="G26" s="67"/>
      <c r="H26" s="6"/>
      <c r="I26" s="58"/>
      <c r="L26" s="183"/>
      <c r="N26" s="132"/>
      <c r="O26" s="132"/>
      <c r="P26" s="132"/>
      <c r="Q26" s="133"/>
      <c r="R26" s="129"/>
      <c r="T26" s="120"/>
      <c r="X26" s="104"/>
    </row>
    <row r="27" spans="7:66" ht="14.25" customHeight="1" x14ac:dyDescent="0.2">
      <c r="G27" s="79" t="s">
        <v>13</v>
      </c>
      <c r="H27" s="6" t="s">
        <v>14</v>
      </c>
      <c r="I27" s="58">
        <f>'Консолид_бюджет(текущ)'!I27</f>
        <v>42831.928368959998</v>
      </c>
      <c r="L27" s="183"/>
      <c r="N27" s="132"/>
      <c r="O27" s="132"/>
      <c r="P27" s="132"/>
      <c r="Q27" s="133"/>
      <c r="R27" s="129"/>
      <c r="T27" s="128">
        <v>0.3</v>
      </c>
      <c r="U27" s="38" t="s">
        <v>83</v>
      </c>
      <c r="X27" s="104"/>
    </row>
    <row r="28" spans="7:66" ht="6.75" customHeight="1" x14ac:dyDescent="0.2">
      <c r="G28" s="79"/>
      <c r="H28" s="6"/>
      <c r="I28" s="58"/>
      <c r="L28" s="183"/>
      <c r="N28" s="132"/>
      <c r="O28" s="132"/>
      <c r="P28" s="132"/>
      <c r="Q28" s="133"/>
      <c r="R28" s="129"/>
      <c r="T28" s="150">
        <f>T25*T27</f>
        <v>82.680599999999984</v>
      </c>
      <c r="U28" s="151" t="s">
        <v>84</v>
      </c>
      <c r="V28" s="151"/>
      <c r="W28" s="151"/>
      <c r="X28" s="104"/>
    </row>
    <row r="29" spans="7:66" ht="7.5" customHeight="1" x14ac:dyDescent="0.2">
      <c r="G29" s="67"/>
      <c r="H29" s="221" t="s">
        <v>46</v>
      </c>
      <c r="I29" s="181">
        <f>'Консолид_бюджет(текущ)'!I29</f>
        <v>117.68817423</v>
      </c>
      <c r="L29" s="183"/>
      <c r="N29" s="132"/>
      <c r="O29" s="132"/>
      <c r="P29" s="132"/>
      <c r="Q29" s="133"/>
      <c r="R29" s="129"/>
      <c r="T29" s="150"/>
      <c r="U29" s="151"/>
      <c r="V29" s="151"/>
      <c r="W29" s="151"/>
      <c r="X29" s="104"/>
      <c r="AD29" s="148"/>
    </row>
    <row r="30" spans="7:66" ht="9" customHeight="1" x14ac:dyDescent="0.2">
      <c r="G30" s="67"/>
      <c r="H30" s="221"/>
      <c r="I30" s="181"/>
      <c r="L30" s="183"/>
      <c r="N30" s="132"/>
      <c r="O30" s="132"/>
      <c r="P30" s="132"/>
      <c r="Q30" s="133"/>
      <c r="R30" s="217"/>
      <c r="S30" s="216"/>
      <c r="T30" s="150">
        <f>ROUND(T2/39588.3*26171.08,2)</f>
        <v>34434.79</v>
      </c>
      <c r="X30" s="104"/>
      <c r="AD30" s="149"/>
    </row>
    <row r="31" spans="7:66" ht="9" customHeight="1" x14ac:dyDescent="0.2">
      <c r="G31" s="67"/>
      <c r="H31" s="221"/>
      <c r="I31" s="181"/>
      <c r="L31" s="183"/>
      <c r="N31" s="132"/>
      <c r="O31" s="132"/>
      <c r="P31" s="132"/>
      <c r="Q31" s="133"/>
      <c r="R31" s="217"/>
      <c r="S31" s="216"/>
      <c r="T31" s="150"/>
      <c r="U31" s="38" t="s">
        <v>85</v>
      </c>
      <c r="X31" s="104"/>
    </row>
    <row r="32" spans="7:66" ht="9" customHeight="1" x14ac:dyDescent="0.2">
      <c r="G32" s="67"/>
      <c r="H32" s="221"/>
      <c r="I32" s="181"/>
      <c r="L32" s="183"/>
      <c r="N32" s="132"/>
      <c r="O32" s="132"/>
      <c r="P32" s="132"/>
      <c r="Q32" s="133"/>
      <c r="R32" s="129"/>
      <c r="T32" s="120"/>
      <c r="X32" s="104"/>
    </row>
    <row r="33" spans="7:29" ht="24.75" customHeight="1" x14ac:dyDescent="0.2">
      <c r="G33" s="67"/>
      <c r="H33" s="36" t="s">
        <v>16</v>
      </c>
      <c r="I33" s="59">
        <f>'Консолид_бюджет(текущ)'!I33</f>
        <v>1366.00190716</v>
      </c>
      <c r="L33" s="183"/>
      <c r="N33" s="132"/>
      <c r="O33" s="132"/>
      <c r="P33" s="132"/>
      <c r="Q33" s="133"/>
      <c r="R33" s="129"/>
      <c r="S33" s="41"/>
      <c r="T33" s="124">
        <f>ROUND(T30*0.04*12,2)</f>
        <v>16528.7</v>
      </c>
      <c r="U33" s="105" t="s">
        <v>95</v>
      </c>
      <c r="V33" s="105"/>
      <c r="W33" s="105"/>
      <c r="X33" s="106"/>
    </row>
    <row r="34" spans="7:29" ht="4.5" customHeight="1" x14ac:dyDescent="0.2">
      <c r="G34" s="67"/>
      <c r="I34" s="8"/>
      <c r="L34" s="183"/>
      <c r="N34" s="132"/>
      <c r="O34" s="132"/>
      <c r="P34" s="132"/>
      <c r="Q34" s="133"/>
      <c r="R34" s="129"/>
      <c r="T34" s="125"/>
    </row>
    <row r="35" spans="7:29" ht="15.75" customHeight="1" x14ac:dyDescent="0.2">
      <c r="G35" s="62"/>
      <c r="I35" s="4" t="s">
        <v>9</v>
      </c>
      <c r="J35" s="12">
        <f>I22+I23+I25+I27+I29+I33</f>
        <v>280823.98044294596</v>
      </c>
      <c r="L35" s="184"/>
      <c r="N35" s="132"/>
      <c r="O35" s="132"/>
      <c r="P35" s="132"/>
      <c r="Q35" s="133"/>
      <c r="R35" s="129"/>
      <c r="T35" s="127">
        <v>1E-3</v>
      </c>
      <c r="U35" s="102" t="s">
        <v>91</v>
      </c>
      <c r="V35" s="102"/>
      <c r="W35" s="102"/>
      <c r="X35" s="102"/>
      <c r="Y35" s="102"/>
      <c r="Z35" s="102"/>
      <c r="AA35" s="102"/>
      <c r="AB35" s="102"/>
      <c r="AC35" s="103"/>
    </row>
    <row r="36" spans="7:29" ht="8.25" customHeight="1" x14ac:dyDescent="0.2">
      <c r="G36" s="62"/>
      <c r="I36" s="8"/>
      <c r="N36" s="132"/>
      <c r="O36" s="132"/>
      <c r="P36" s="132"/>
      <c r="Q36" s="133"/>
      <c r="R36" s="129"/>
      <c r="T36" s="120"/>
      <c r="AC36" s="104"/>
    </row>
    <row r="37" spans="7:29" ht="15.75" customHeight="1" x14ac:dyDescent="0.2">
      <c r="G37" s="62"/>
      <c r="N37" s="132"/>
      <c r="O37" s="132"/>
      <c r="P37" s="132"/>
      <c r="Q37" s="133"/>
      <c r="R37" s="129"/>
      <c r="T37" s="120">
        <f>T6*T35*1000</f>
        <v>1982.7756099988981</v>
      </c>
      <c r="U37" s="38" t="s">
        <v>92</v>
      </c>
      <c r="AC37" s="104"/>
    </row>
    <row r="38" spans="7:29" ht="15" x14ac:dyDescent="0.25">
      <c r="G38" s="62"/>
      <c r="Q38" s="63"/>
      <c r="R38" s="129"/>
      <c r="T38" s="123">
        <v>12867.91947922</v>
      </c>
      <c r="U38" s="38" t="s">
        <v>93</v>
      </c>
      <c r="AC38" s="104"/>
    </row>
    <row r="39" spans="7:29" ht="2.25" customHeight="1" x14ac:dyDescent="0.2">
      <c r="G39" s="62"/>
      <c r="H39" s="2" t="s">
        <v>17</v>
      </c>
      <c r="Q39" s="63"/>
      <c r="R39" s="129"/>
      <c r="T39" s="120"/>
      <c r="AC39" s="104"/>
    </row>
    <row r="40" spans="7:29" ht="27" customHeight="1" x14ac:dyDescent="0.2">
      <c r="G40" s="81" t="s">
        <v>18</v>
      </c>
      <c r="H40" s="117" t="s">
        <v>48</v>
      </c>
      <c r="I40" s="188" t="s">
        <v>19</v>
      </c>
      <c r="J40" s="188"/>
      <c r="K40" s="188"/>
      <c r="L40" s="188" t="s">
        <v>20</v>
      </c>
      <c r="M40" s="188"/>
      <c r="N40" s="188"/>
      <c r="O40" s="23" t="s">
        <v>21</v>
      </c>
      <c r="P40" s="227" t="s">
        <v>15</v>
      </c>
      <c r="Q40" s="228"/>
      <c r="R40" s="129"/>
      <c r="T40" s="120">
        <f>T38/T37/12*1000000</f>
        <v>540820.9672646363</v>
      </c>
      <c r="U40" s="38" t="s">
        <v>124</v>
      </c>
      <c r="AC40" s="104"/>
    </row>
    <row r="41" spans="7:29" ht="17.25" customHeight="1" x14ac:dyDescent="0.2">
      <c r="G41" s="82" t="s">
        <v>52</v>
      </c>
      <c r="H41" s="31">
        <f>'Консолид_бюджет(текущ)'!H41</f>
        <v>1241.2</v>
      </c>
      <c r="I41" s="229">
        <f>'Консолид_бюджет(текущ)'!I41:K41</f>
        <v>52088.6</v>
      </c>
      <c r="J41" s="230"/>
      <c r="K41" s="231"/>
      <c r="L41" s="232">
        <f>'Консолид_бюджет(текущ)'!L41:N41</f>
        <v>180551.06607045396</v>
      </c>
      <c r="M41" s="233"/>
      <c r="N41" s="234"/>
      <c r="O41" s="31">
        <f>Q7</f>
        <v>280762.92980000004</v>
      </c>
      <c r="P41" s="200">
        <f>'Консолид_бюджет(текущ)'!P41:Q41</f>
        <v>100211.86372954608</v>
      </c>
      <c r="Q41" s="201"/>
      <c r="R41" s="129"/>
      <c r="T41" s="120">
        <f>T40/15%*100%</f>
        <v>3605473.1150975754</v>
      </c>
      <c r="U41" s="38" t="s">
        <v>116</v>
      </c>
      <c r="AC41" s="104"/>
    </row>
    <row r="42" spans="7:29" x14ac:dyDescent="0.2">
      <c r="G42" s="83" t="s">
        <v>44</v>
      </c>
      <c r="H42" s="25">
        <f>$Q$19</f>
        <v>1982.8</v>
      </c>
      <c r="I42" s="164">
        <f>$Q$17</f>
        <v>52088.6</v>
      </c>
      <c r="J42" s="165"/>
      <c r="K42" s="166"/>
      <c r="L42" s="251">
        <f>$J$19</f>
        <v>280762.92980024207</v>
      </c>
      <c r="M42" s="174"/>
      <c r="N42" s="252"/>
      <c r="O42" s="25">
        <f>$Q$7</f>
        <v>280762.92980000004</v>
      </c>
      <c r="P42" s="156">
        <f>O42-L42</f>
        <v>-2.4202745407819748E-7</v>
      </c>
      <c r="Q42" s="157"/>
      <c r="R42" s="129"/>
      <c r="T42" s="124">
        <v>110.57358175328571</v>
      </c>
      <c r="U42" s="105" t="s">
        <v>122</v>
      </c>
      <c r="V42" s="105"/>
      <c r="W42" s="105"/>
      <c r="X42" s="105">
        <f>T41/T2</f>
        <v>69.218084477171118</v>
      </c>
      <c r="Y42" s="105"/>
      <c r="Z42" s="105"/>
      <c r="AA42" s="105"/>
      <c r="AB42" s="105"/>
      <c r="AC42" s="106"/>
    </row>
    <row r="43" spans="7:29" ht="6" customHeight="1" x14ac:dyDescent="0.2">
      <c r="G43" s="84"/>
      <c r="H43" s="24"/>
      <c r="I43" s="162"/>
      <c r="J43" s="171"/>
      <c r="K43" s="172"/>
      <c r="L43" s="162"/>
      <c r="M43" s="171"/>
      <c r="N43" s="172"/>
      <c r="O43" s="24"/>
      <c r="P43" s="162"/>
      <c r="Q43" s="163"/>
      <c r="R43" s="129"/>
      <c r="T43" s="125"/>
    </row>
    <row r="44" spans="7:29" ht="15" x14ac:dyDescent="0.25">
      <c r="G44" s="83" t="s">
        <v>45</v>
      </c>
      <c r="H44" s="25">
        <f>'Подбор зарплаты'!H44</f>
        <v>1241.2</v>
      </c>
      <c r="I44" s="158">
        <f>'Подбор зарплаты'!I44</f>
        <v>81648.694480473467</v>
      </c>
      <c r="J44" s="189"/>
      <c r="K44" s="190"/>
      <c r="L44" s="158">
        <f>'Подбор зарплаты'!L44</f>
        <v>280762.92980287131</v>
      </c>
      <c r="M44" s="189"/>
      <c r="N44" s="190"/>
      <c r="O44" s="25">
        <f>$Q$7</f>
        <v>280762.92980000004</v>
      </c>
      <c r="P44" s="158">
        <f>O44-L44</f>
        <v>-2.8712674975395203E-6</v>
      </c>
      <c r="Q44" s="159"/>
      <c r="R44" s="129"/>
      <c r="T44" s="122">
        <f>SUM(Y74:Y80)/1000000</f>
        <v>3277.9385202600001</v>
      </c>
      <c r="U44" s="102" t="s">
        <v>112</v>
      </c>
      <c r="V44" s="102"/>
      <c r="W44" s="102"/>
      <c r="X44" s="102"/>
      <c r="Y44" s="102"/>
      <c r="Z44" s="102"/>
      <c r="AA44" s="102"/>
      <c r="AB44" s="102"/>
      <c r="AC44" s="103"/>
    </row>
    <row r="45" spans="7:29" ht="6.75" customHeight="1" x14ac:dyDescent="0.2">
      <c r="G45" s="83"/>
      <c r="H45" s="26"/>
      <c r="I45" s="197"/>
      <c r="J45" s="198"/>
      <c r="K45" s="199"/>
      <c r="L45" s="173"/>
      <c r="M45" s="174"/>
      <c r="N45" s="175"/>
      <c r="O45" s="25"/>
      <c r="P45" s="158"/>
      <c r="Q45" s="159"/>
      <c r="R45" s="129"/>
      <c r="T45" s="120"/>
      <c r="AC45" s="104"/>
    </row>
    <row r="46" spans="7:29" ht="22.5" customHeight="1" x14ac:dyDescent="0.25">
      <c r="G46" s="85" t="s">
        <v>22</v>
      </c>
      <c r="H46" s="136">
        <f>'Подбор "серый рынок"'!H46</f>
        <v>1482.8</v>
      </c>
      <c r="I46" s="194">
        <f>'Подбор "серый рынок"'!I46:K46</f>
        <v>52088.6</v>
      </c>
      <c r="J46" s="195"/>
      <c r="K46" s="196"/>
      <c r="L46" s="191">
        <f>'Подбор "серый рынок"'!L46:N46</f>
        <v>213198.42433353234</v>
      </c>
      <c r="M46" s="192"/>
      <c r="N46" s="193"/>
      <c r="O46" s="137">
        <f>Q7</f>
        <v>280762.92980000004</v>
      </c>
      <c r="P46" s="235">
        <f>O46-L46</f>
        <v>67564.505466467701</v>
      </c>
      <c r="Q46" s="236"/>
      <c r="R46" s="129"/>
      <c r="T46" s="123">
        <v>4000854</v>
      </c>
      <c r="U46" s="38" t="s">
        <v>113</v>
      </c>
      <c r="AC46" s="104"/>
    </row>
    <row r="47" spans="7:29" ht="6.75" hidden="1" customHeight="1" x14ac:dyDescent="0.2">
      <c r="G47" s="176" t="s">
        <v>23</v>
      </c>
      <c r="H47" s="18"/>
      <c r="I47" s="14"/>
      <c r="J47" s="8"/>
      <c r="K47" s="15"/>
      <c r="L47" s="14"/>
      <c r="N47" s="15"/>
      <c r="O47" s="16"/>
      <c r="Q47" s="63"/>
      <c r="R47" s="129"/>
      <c r="T47" s="120"/>
      <c r="AC47" s="104"/>
    </row>
    <row r="48" spans="7:29" ht="43.5" hidden="1" customHeight="1" thickBot="1" x14ac:dyDescent="0.25">
      <c r="G48" s="177"/>
      <c r="H48" s="19">
        <v>1901</v>
      </c>
      <c r="I48" s="20" t="s">
        <v>24</v>
      </c>
      <c r="J48" s="21">
        <v>5060</v>
      </c>
      <c r="K48" s="17"/>
      <c r="L48" s="178">
        <v>23169</v>
      </c>
      <c r="M48" s="179"/>
      <c r="N48" s="180"/>
      <c r="O48" s="22">
        <v>23169</v>
      </c>
      <c r="P48" s="32"/>
      <c r="Q48" s="63"/>
      <c r="R48" s="129"/>
      <c r="T48" s="120"/>
      <c r="AC48" s="104"/>
    </row>
    <row r="49" spans="7:29" ht="7.5" customHeight="1" x14ac:dyDescent="0.2">
      <c r="G49" s="62"/>
      <c r="Q49" s="63"/>
      <c r="R49" s="129"/>
      <c r="T49" s="120"/>
      <c r="AC49" s="104"/>
    </row>
    <row r="50" spans="7:29" x14ac:dyDescent="0.2">
      <c r="G50" s="62" t="s">
        <v>49</v>
      </c>
      <c r="Q50" s="63"/>
      <c r="R50" s="129"/>
      <c r="T50" s="120">
        <f>T44/T46*1000000/12</f>
        <v>68.27580895353843</v>
      </c>
      <c r="U50" s="38" t="s">
        <v>114</v>
      </c>
      <c r="AC50" s="104"/>
    </row>
    <row r="51" spans="7:29" ht="18.75" thickBot="1" x14ac:dyDescent="0.3">
      <c r="G51" s="86" t="s">
        <v>50</v>
      </c>
      <c r="H51" s="87"/>
      <c r="I51" s="87"/>
      <c r="J51" s="88"/>
      <c r="K51" s="89"/>
      <c r="L51" s="87"/>
      <c r="M51" s="87"/>
      <c r="N51" s="87"/>
      <c r="O51" s="87"/>
      <c r="P51" s="87"/>
      <c r="Q51" s="90"/>
      <c r="R51" s="129"/>
      <c r="T51" s="120">
        <f>T50/13%*100%</f>
        <v>525.1985304118341</v>
      </c>
      <c r="U51" s="38" t="s">
        <v>115</v>
      </c>
      <c r="AC51" s="104"/>
    </row>
    <row r="52" spans="7:29" s="38" customFormat="1" ht="27" customHeight="1" thickTop="1" x14ac:dyDescent="0.25">
      <c r="J52" s="42"/>
      <c r="K52" s="43"/>
      <c r="Q52" s="43"/>
      <c r="T52" s="55"/>
      <c r="U52" s="105"/>
      <c r="V52" s="105"/>
      <c r="W52" s="105"/>
      <c r="X52" s="105"/>
      <c r="Y52" s="105"/>
      <c r="Z52" s="105"/>
      <c r="AA52" s="105"/>
      <c r="AB52" s="105"/>
      <c r="AC52" s="106"/>
    </row>
    <row r="53" spans="7:29" s="38" customFormat="1" x14ac:dyDescent="0.2">
      <c r="H53" s="44" t="s">
        <v>25</v>
      </c>
      <c r="I53" s="45">
        <v>2E-3</v>
      </c>
    </row>
    <row r="54" spans="7:29" s="38" customFormat="1" x14ac:dyDescent="0.2">
      <c r="H54" s="43" t="s">
        <v>26</v>
      </c>
      <c r="I54" s="46">
        <f>1-J71/(T2*13%*12)</f>
        <v>1.3395027873727483E-2</v>
      </c>
    </row>
    <row r="55" spans="7:29" s="38" customFormat="1" x14ac:dyDescent="0.2">
      <c r="H55" s="43"/>
      <c r="I55" s="46"/>
      <c r="J55" s="38">
        <f>852.21+142.005*98.6%+3.093+1.243+0.312+0.12+0.089+3.151+1.598+0.551+0.237+0.196+14.557+10.25+2.986+1.043+0.509</f>
        <v>1032.1619300000002</v>
      </c>
      <c r="K55" s="38" t="s">
        <v>118</v>
      </c>
    </row>
    <row r="56" spans="7:29" s="38" customFormat="1" x14ac:dyDescent="0.2">
      <c r="J56" s="38">
        <f>J55/T6</f>
        <v>0.52056416510014158</v>
      </c>
      <c r="K56" s="38" t="s">
        <v>55</v>
      </c>
      <c r="O56" s="38">
        <f>J71*T6/1000</f>
        <v>158958.64465206277</v>
      </c>
    </row>
    <row r="57" spans="7:29" s="38" customFormat="1" ht="39.75" customHeight="1" x14ac:dyDescent="0.2">
      <c r="H57" s="146" t="s">
        <v>27</v>
      </c>
      <c r="I57" s="147"/>
      <c r="J57" s="47">
        <f>1400*J56</f>
        <v>728.7898311401982</v>
      </c>
      <c r="K57" s="38" t="s">
        <v>54</v>
      </c>
      <c r="U57" s="155" t="s">
        <v>63</v>
      </c>
      <c r="V57" s="155"/>
      <c r="W57" s="155"/>
      <c r="X57" s="155"/>
      <c r="Y57" s="155"/>
    </row>
    <row r="58" spans="7:29" s="38" customFormat="1" ht="25.5" x14ac:dyDescent="0.2">
      <c r="H58" s="48"/>
      <c r="I58" s="49" t="s">
        <v>28</v>
      </c>
      <c r="J58" s="50" t="s">
        <v>29</v>
      </c>
      <c r="O58" s="38">
        <f>J55+142.005+3.093+1.243+0.312+0.12+0.089+3.151+1.598+0.551+0.237+0.196+14.557+10.25+2.986+1.043+0.509</f>
        <v>1214.10193</v>
      </c>
      <c r="U58" s="152" t="s">
        <v>64</v>
      </c>
      <c r="V58" s="154" t="s">
        <v>65</v>
      </c>
      <c r="W58" s="154"/>
      <c r="X58" s="154"/>
      <c r="Y58" s="154"/>
    </row>
    <row r="59" spans="7:29" s="38" customFormat="1" ht="84" x14ac:dyDescent="0.2">
      <c r="H59" s="51" t="s">
        <v>30</v>
      </c>
      <c r="I59" s="52">
        <f>$T$2</f>
        <v>52088.6</v>
      </c>
      <c r="J59" s="53">
        <f>IF(I59&lt;$J$57,0,IF(SUM($I$59:I59)&lt;350000,(I59-$J$57)*13%,I59*13%))</f>
        <v>6676.7753219517745</v>
      </c>
      <c r="N59" s="41">
        <f>I10</f>
        <v>178399.19182303906</v>
      </c>
      <c r="U59" s="153"/>
      <c r="V59" s="95" t="s">
        <v>66</v>
      </c>
      <c r="W59" s="95" t="s">
        <v>67</v>
      </c>
      <c r="X59" s="95" t="s">
        <v>68</v>
      </c>
      <c r="Y59" s="95" t="s">
        <v>69</v>
      </c>
    </row>
    <row r="60" spans="7:29" s="38" customFormat="1" ht="38.25" x14ac:dyDescent="0.2">
      <c r="H60" s="51" t="s">
        <v>31</v>
      </c>
      <c r="I60" s="52">
        <f t="shared" ref="I60:I69" si="3">$T$2</f>
        <v>52088.6</v>
      </c>
      <c r="J60" s="53">
        <f>IF(I60&lt;$J$57,0,IF(SUM($I$59:I60)&lt;350000,(I60-$J$57)*13%,I60*13%))</f>
        <v>6676.7753219517745</v>
      </c>
      <c r="U60" s="96" t="s">
        <v>70</v>
      </c>
      <c r="V60" s="97">
        <v>72228</v>
      </c>
      <c r="W60" s="97">
        <v>335164</v>
      </c>
      <c r="X60" s="98">
        <v>24278.479842858102</v>
      </c>
      <c r="Y60" s="98">
        <v>252523238.33000001</v>
      </c>
    </row>
    <row r="61" spans="7:29" s="38" customFormat="1" x14ac:dyDescent="0.2">
      <c r="H61" s="51" t="s">
        <v>32</v>
      </c>
      <c r="I61" s="52">
        <f t="shared" si="3"/>
        <v>52088.6</v>
      </c>
      <c r="J61" s="53">
        <f>IF(I61&lt;$J$57,0,IF(SUM($I$59:I61)&lt;350000,(I61-$J$57)*13%,I61*13%))</f>
        <v>6676.7753219517745</v>
      </c>
    </row>
    <row r="62" spans="7:29" s="38" customFormat="1" x14ac:dyDescent="0.2">
      <c r="H62" s="51" t="s">
        <v>33</v>
      </c>
      <c r="I62" s="52">
        <f t="shared" si="3"/>
        <v>52088.6</v>
      </c>
      <c r="J62" s="53">
        <f>IF(I62&lt;$J$57,0,IF(SUM($I$59:I62)&lt;350000,(I62-$J$57)*13%,I62*13%))</f>
        <v>6676.7753219517745</v>
      </c>
    </row>
    <row r="63" spans="7:29" s="38" customFormat="1" x14ac:dyDescent="0.2">
      <c r="H63" s="51" t="s">
        <v>34</v>
      </c>
      <c r="I63" s="52">
        <f t="shared" si="3"/>
        <v>52088.6</v>
      </c>
      <c r="J63" s="53">
        <f>IF(I63&lt;$J$57,0,IF(SUM($I$59:I63)&lt;350000,(I63-$J$57)*13%,I63*13%))</f>
        <v>6676.7753219517745</v>
      </c>
    </row>
    <row r="64" spans="7:29" s="38" customFormat="1" x14ac:dyDescent="0.2">
      <c r="H64" s="51" t="s">
        <v>35</v>
      </c>
      <c r="I64" s="52">
        <f>$T$2</f>
        <v>52088.6</v>
      </c>
      <c r="J64" s="53">
        <f>IF(I64&lt;$J$57,0,IF(SUM($I$59:I64)&lt;350000,(I64-$J$57)*13%,I64*13%))</f>
        <v>6676.7753219517745</v>
      </c>
      <c r="Q64" s="38">
        <v>2019</v>
      </c>
      <c r="T64" s="38">
        <v>337044086</v>
      </c>
    </row>
    <row r="65" spans="8:25" s="38" customFormat="1" x14ac:dyDescent="0.2">
      <c r="H65" s="51" t="s">
        <v>36</v>
      </c>
      <c r="I65" s="52">
        <f t="shared" si="3"/>
        <v>52088.6</v>
      </c>
      <c r="J65" s="53">
        <f>IF(I65&lt;$J$57,0,IF(SUM($I$59:I65)&lt;350000,(I65-$J$57)*13%,I65*13%))</f>
        <v>6771.518</v>
      </c>
      <c r="T65" s="38">
        <f>98842099.9+16482539.2+25149811.6+40868273.1+8108859.2+1854912.6</f>
        <v>191306495.59999999</v>
      </c>
    </row>
    <row r="66" spans="8:25" s="38" customFormat="1" x14ac:dyDescent="0.2">
      <c r="H66" s="51" t="s">
        <v>37</v>
      </c>
      <c r="I66" s="52">
        <f t="shared" si="3"/>
        <v>52088.6</v>
      </c>
      <c r="J66" s="53">
        <f>IF(I66&lt;$J$57,0,IF(SUM($I$59:I66)&lt;350000,(I66-$J$57)*13%,I66*13%))</f>
        <v>6771.518</v>
      </c>
      <c r="T66" s="38">
        <f>T65/T64*100</f>
        <v>56.760080816252625</v>
      </c>
    </row>
    <row r="67" spans="8:25" s="38" customFormat="1" x14ac:dyDescent="0.2">
      <c r="H67" s="51" t="s">
        <v>38</v>
      </c>
      <c r="I67" s="52">
        <f t="shared" si="3"/>
        <v>52088.6</v>
      </c>
      <c r="J67" s="53">
        <f>IF(I67&lt;$J$57,0,IF(SUM($I$59:I67)&lt;350000,(I67-$J$57)*13%,I67*13%))</f>
        <v>6771.518</v>
      </c>
    </row>
    <row r="68" spans="8:25" s="38" customFormat="1" x14ac:dyDescent="0.2">
      <c r="H68" s="51" t="s">
        <v>39</v>
      </c>
      <c r="I68" s="52">
        <f t="shared" si="3"/>
        <v>52088.6</v>
      </c>
      <c r="J68" s="53">
        <f>IF(I68&lt;$J$57,0,IF(SUM($I$59:I68)&lt;350000,(I68-$J$57)*13%,I68*13%))</f>
        <v>6771.518</v>
      </c>
    </row>
    <row r="69" spans="8:25" s="38" customFormat="1" x14ac:dyDescent="0.2">
      <c r="H69" s="51" t="s">
        <v>40</v>
      </c>
      <c r="I69" s="52">
        <f t="shared" si="3"/>
        <v>52088.6</v>
      </c>
      <c r="J69" s="53">
        <f>IF(I69&lt;$J$57,0,IF(SUM($I$59:I69)&lt;350000,(I69-$J$57)*13%,I69*13%))</f>
        <v>6771.518</v>
      </c>
    </row>
    <row r="70" spans="8:25" s="38" customFormat="1" x14ac:dyDescent="0.2">
      <c r="H70" s="51" t="s">
        <v>41</v>
      </c>
      <c r="I70" s="54">
        <f>$T$2-T5</f>
        <v>48088.6</v>
      </c>
      <c r="J70" s="53">
        <f>IF(I70&lt;$J$57,0,IF(SUM($I$59:I70)&lt;350000,(I70-$J$57)*13%,I70*13%))</f>
        <v>6251.518</v>
      </c>
    </row>
    <row r="71" spans="8:25" s="38" customFormat="1" x14ac:dyDescent="0.2">
      <c r="H71" s="55"/>
      <c r="I71" s="56">
        <f>I59*12*13%</f>
        <v>81258.216</v>
      </c>
      <c r="J71" s="57">
        <f>SUM(J59:J70)</f>
        <v>80169.759931710636</v>
      </c>
      <c r="K71" s="38">
        <f>J71/I71</f>
        <v>0.98660497212627252</v>
      </c>
    </row>
    <row r="72" spans="8:25" s="38" customFormat="1" x14ac:dyDescent="0.2"/>
    <row r="73" spans="8:25" s="38" customFormat="1" x14ac:dyDescent="0.2">
      <c r="H73" s="41">
        <f>I10</f>
        <v>178399.19182303906</v>
      </c>
      <c r="J73" s="38">
        <f>H73/T6*1000</f>
        <v>89974.473623436497</v>
      </c>
    </row>
    <row r="74" spans="8:25" s="38" customFormat="1" ht="71.25" customHeight="1" x14ac:dyDescent="0.2">
      <c r="H74" s="146" t="s">
        <v>27</v>
      </c>
      <c r="I74" s="147"/>
      <c r="J74" s="47">
        <f>1400*J56</f>
        <v>728.7898311401982</v>
      </c>
      <c r="K74" s="38" t="s">
        <v>120</v>
      </c>
      <c r="U74" s="109" t="s">
        <v>96</v>
      </c>
      <c r="V74" s="110" t="s">
        <v>97</v>
      </c>
      <c r="W74" s="111" t="s">
        <v>98</v>
      </c>
      <c r="X74" s="112" t="s">
        <v>99</v>
      </c>
      <c r="Y74" s="114">
        <v>321556986.89999998</v>
      </c>
    </row>
    <row r="75" spans="8:25" s="38" customFormat="1" ht="37.5" customHeight="1" x14ac:dyDescent="0.2">
      <c r="H75" s="48"/>
      <c r="I75" s="49" t="s">
        <v>28</v>
      </c>
      <c r="J75" s="50" t="s">
        <v>29</v>
      </c>
      <c r="K75" s="38" t="s">
        <v>125</v>
      </c>
      <c r="U75" s="109" t="s">
        <v>100</v>
      </c>
      <c r="V75" s="110" t="s">
        <v>97</v>
      </c>
      <c r="W75" s="111" t="s">
        <v>98</v>
      </c>
      <c r="X75" s="112" t="s">
        <v>101</v>
      </c>
      <c r="Y75" s="113">
        <v>1433078133.3299999</v>
      </c>
    </row>
    <row r="76" spans="8:25" s="38" customFormat="1" ht="42" customHeight="1" x14ac:dyDescent="0.2">
      <c r="H76" s="51" t="s">
        <v>30</v>
      </c>
      <c r="I76" s="52">
        <f>$T$7</f>
        <v>44934.075000000004</v>
      </c>
      <c r="J76" s="53">
        <f>IF(I76&lt;$J$57,0,IF(SUM($I$76:I76)&lt;350000,(I76-$J$57)*13%,I76*13%))</f>
        <v>5746.6870719517756</v>
      </c>
      <c r="U76" s="109" t="s">
        <v>102</v>
      </c>
      <c r="V76" s="110" t="s">
        <v>97</v>
      </c>
      <c r="W76" s="111" t="s">
        <v>98</v>
      </c>
      <c r="X76" s="112" t="s">
        <v>103</v>
      </c>
      <c r="Y76" s="113">
        <v>1470812634.9100001</v>
      </c>
    </row>
    <row r="77" spans="8:25" s="38" customFormat="1" ht="41.25" customHeight="1" x14ac:dyDescent="0.2">
      <c r="H77" s="51" t="s">
        <v>31</v>
      </c>
      <c r="I77" s="52">
        <f>I76</f>
        <v>44934.075000000004</v>
      </c>
      <c r="J77" s="53">
        <f>IF(I77&lt;$J$57,0,IF(SUM($I$76:I77)&lt;350000,(I77-$J$57)*13%,I77*13%))</f>
        <v>5746.6870719517756</v>
      </c>
      <c r="U77" s="109" t="s">
        <v>104</v>
      </c>
      <c r="V77" s="110" t="s">
        <v>97</v>
      </c>
      <c r="W77" s="111" t="s">
        <v>98</v>
      </c>
      <c r="X77" s="112" t="s">
        <v>105</v>
      </c>
      <c r="Y77" s="113">
        <v>4839287.88</v>
      </c>
    </row>
    <row r="78" spans="8:25" s="38" customFormat="1" ht="42.75" customHeight="1" x14ac:dyDescent="0.2">
      <c r="H78" s="51" t="s">
        <v>32</v>
      </c>
      <c r="I78" s="52">
        <f t="shared" ref="I78:I86" si="4">I77</f>
        <v>44934.075000000004</v>
      </c>
      <c r="J78" s="53">
        <f>IF(I78&lt;$J$57,0,IF(SUM($I$76:I78)&lt;350000,(I78-$J$57)*13%,I78*13%))</f>
        <v>5746.6870719517756</v>
      </c>
      <c r="U78" s="109" t="s">
        <v>106</v>
      </c>
      <c r="V78" s="110" t="s">
        <v>97</v>
      </c>
      <c r="W78" s="111" t="s">
        <v>98</v>
      </c>
      <c r="X78" s="112" t="s">
        <v>107</v>
      </c>
      <c r="Y78" s="113">
        <v>1305942.21</v>
      </c>
    </row>
    <row r="79" spans="8:25" s="38" customFormat="1" ht="31.5" customHeight="1" x14ac:dyDescent="0.2">
      <c r="H79" s="51" t="s">
        <v>33</v>
      </c>
      <c r="I79" s="52">
        <f t="shared" si="4"/>
        <v>44934.075000000004</v>
      </c>
      <c r="J79" s="53">
        <f>IF(I79&lt;$J$57,0,IF(SUM($I$76:I79)&lt;350000,(I79-$J$57)*13%,I79*13%))</f>
        <v>5746.6870719517756</v>
      </c>
      <c r="U79" s="109" t="s">
        <v>108</v>
      </c>
      <c r="V79" s="110" t="s">
        <v>97</v>
      </c>
      <c r="W79" s="111" t="s">
        <v>98</v>
      </c>
      <c r="X79" s="112" t="s">
        <v>109</v>
      </c>
      <c r="Y79" s="113">
        <v>38298373.329999998</v>
      </c>
    </row>
    <row r="80" spans="8:25" s="38" customFormat="1" ht="33.75" customHeight="1" x14ac:dyDescent="0.2">
      <c r="H80" s="51" t="s">
        <v>34</v>
      </c>
      <c r="I80" s="52">
        <f t="shared" si="4"/>
        <v>44934.075000000004</v>
      </c>
      <c r="J80" s="53">
        <f>IF(I80&lt;$J$57,0,IF(SUM($I$76:I80)&lt;350000,(I80-$J$57)*13%,I80*13%))</f>
        <v>5746.6870719517756</v>
      </c>
      <c r="U80" s="109" t="s">
        <v>110</v>
      </c>
      <c r="V80" s="110" t="s">
        <v>97</v>
      </c>
      <c r="W80" s="111" t="s">
        <v>98</v>
      </c>
      <c r="X80" s="112" t="s">
        <v>111</v>
      </c>
      <c r="Y80" s="113">
        <v>8047161.7000000002</v>
      </c>
    </row>
    <row r="81" spans="8:10" s="38" customFormat="1" x14ac:dyDescent="0.2">
      <c r="H81" s="51" t="s">
        <v>35</v>
      </c>
      <c r="I81" s="52">
        <f t="shared" si="4"/>
        <v>44934.075000000004</v>
      </c>
      <c r="J81" s="53">
        <f>IF(I81&lt;$J$57,0,IF(SUM($I$76:I81)&lt;350000,(I81-$J$57)*13%,I81*13%))</f>
        <v>5746.6870719517756</v>
      </c>
    </row>
    <row r="82" spans="8:10" s="38" customFormat="1" x14ac:dyDescent="0.2">
      <c r="H82" s="51" t="s">
        <v>36</v>
      </c>
      <c r="I82" s="52">
        <f t="shared" si="4"/>
        <v>44934.075000000004</v>
      </c>
      <c r="J82" s="53">
        <f>IF(I82&lt;$J$57,0,IF(SUM($I$76:I82)&lt;350000,(I82-$J$57)*13%,I82*13%))</f>
        <v>5746.6870719517756</v>
      </c>
    </row>
    <row r="83" spans="8:10" s="38" customFormat="1" x14ac:dyDescent="0.2">
      <c r="H83" s="51" t="s">
        <v>37</v>
      </c>
      <c r="I83" s="52">
        <f t="shared" si="4"/>
        <v>44934.075000000004</v>
      </c>
      <c r="J83" s="53">
        <f>IF(I83&lt;$J$57,0,IF(SUM($I$76:I83)&lt;350000,(I83-$J$57)*13%,I83*13%))</f>
        <v>5841.4297500000011</v>
      </c>
    </row>
    <row r="84" spans="8:10" s="38" customFormat="1" x14ac:dyDescent="0.2">
      <c r="H84" s="51" t="s">
        <v>38</v>
      </c>
      <c r="I84" s="52">
        <f t="shared" si="4"/>
        <v>44934.075000000004</v>
      </c>
      <c r="J84" s="53">
        <f>IF(I84&lt;$J$57,0,IF(SUM($I$76:I84)&lt;350000,(I84-$J$57)*13%,I84*13%))</f>
        <v>5841.4297500000011</v>
      </c>
    </row>
    <row r="85" spans="8:10" s="38" customFormat="1" x14ac:dyDescent="0.2">
      <c r="H85" s="51" t="s">
        <v>39</v>
      </c>
      <c r="I85" s="52">
        <f t="shared" si="4"/>
        <v>44934.075000000004</v>
      </c>
      <c r="J85" s="53">
        <f>IF(I85&lt;$J$57,0,IF(SUM($I$76:I85)&lt;350000,(I85-$J$57)*13%,I85*13%))</f>
        <v>5841.4297500000011</v>
      </c>
    </row>
    <row r="86" spans="8:10" s="38" customFormat="1" x14ac:dyDescent="0.2">
      <c r="H86" s="51" t="s">
        <v>40</v>
      </c>
      <c r="I86" s="52">
        <f t="shared" si="4"/>
        <v>44934.075000000004</v>
      </c>
      <c r="J86" s="53">
        <f>IF(I86&lt;$J$57,0,IF(SUM($I$76:I86)&lt;350000,(I86-$J$57)*13%,I86*13%))</f>
        <v>5841.4297500000011</v>
      </c>
    </row>
    <row r="87" spans="8:10" s="38" customFormat="1" x14ac:dyDescent="0.2">
      <c r="H87" s="51" t="s">
        <v>41</v>
      </c>
      <c r="I87" s="52">
        <f>I86-T5</f>
        <v>40934.075000000004</v>
      </c>
      <c r="J87" s="53">
        <f>IF(I87&lt;$J$57,0,IF(SUM($I$76:I87)&lt;350000,(I87-$J$57)*13%,I87*13%))</f>
        <v>5321.4297500000011</v>
      </c>
    </row>
    <row r="88" spans="8:10" s="38" customFormat="1" x14ac:dyDescent="0.2">
      <c r="H88" s="55"/>
      <c r="I88" s="56">
        <f>(I76*5+I81*7)*13%</f>
        <v>70097.157000000007</v>
      </c>
      <c r="J88" s="57">
        <f>SUM(J76:J87)</f>
        <v>68913.958253662437</v>
      </c>
    </row>
    <row r="89" spans="8:10" s="38" customFormat="1" x14ac:dyDescent="0.2"/>
    <row r="90" spans="8:10" s="38" customFormat="1" x14ac:dyDescent="0.2">
      <c r="J90" s="38">
        <f>J88*T11/1000</f>
        <v>8093.1646473901792</v>
      </c>
    </row>
    <row r="91" spans="8:10" s="38" customFormat="1" x14ac:dyDescent="0.2"/>
    <row r="92" spans="8:10" s="38" customFormat="1" x14ac:dyDescent="0.2"/>
    <row r="93" spans="8:10" s="38" customFormat="1" x14ac:dyDescent="0.2"/>
    <row r="94" spans="8:10" s="38" customFormat="1" x14ac:dyDescent="0.2"/>
    <row r="95" spans="8:10" s="38" customFormat="1" x14ac:dyDescent="0.2"/>
    <row r="96" spans="8:10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</sheetData>
  <mergeCells count="43">
    <mergeCell ref="U57:Y57"/>
    <mergeCell ref="U58:U59"/>
    <mergeCell ref="V58:Y58"/>
    <mergeCell ref="H74:I74"/>
    <mergeCell ref="I46:K46"/>
    <mergeCell ref="L46:N46"/>
    <mergeCell ref="P46:Q46"/>
    <mergeCell ref="G47:G48"/>
    <mergeCell ref="L48:N48"/>
    <mergeCell ref="H57:I57"/>
    <mergeCell ref="I44:K44"/>
    <mergeCell ref="L44:N44"/>
    <mergeCell ref="P44:Q44"/>
    <mergeCell ref="I45:K45"/>
    <mergeCell ref="L45:N45"/>
    <mergeCell ref="P45:Q45"/>
    <mergeCell ref="I42:K42"/>
    <mergeCell ref="L42:N42"/>
    <mergeCell ref="P42:Q42"/>
    <mergeCell ref="I43:K43"/>
    <mergeCell ref="L43:N43"/>
    <mergeCell ref="P43:Q43"/>
    <mergeCell ref="I40:K40"/>
    <mergeCell ref="L40:N40"/>
    <mergeCell ref="P40:Q40"/>
    <mergeCell ref="I41:K41"/>
    <mergeCell ref="L41:N41"/>
    <mergeCell ref="P41:Q41"/>
    <mergeCell ref="AD29:AD30"/>
    <mergeCell ref="R30:R31"/>
    <mergeCell ref="S30:S31"/>
    <mergeCell ref="T30:T31"/>
    <mergeCell ref="G2:Q2"/>
    <mergeCell ref="P6:Q6"/>
    <mergeCell ref="L7:L20"/>
    <mergeCell ref="H12:H13"/>
    <mergeCell ref="N16:Q16"/>
    <mergeCell ref="N20:O20"/>
    <mergeCell ref="L21:L35"/>
    <mergeCell ref="T28:T29"/>
    <mergeCell ref="U28:W29"/>
    <mergeCell ref="H29:H32"/>
    <mergeCell ref="I29:I32"/>
  </mergeCells>
  <printOptions horizontalCentered="1"/>
  <pageMargins left="0.18" right="0.17" top="0.25" bottom="0.2" header="0.19" footer="0.17"/>
  <pageSetup paperSize="9" scale="94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N196"/>
  <sheetViews>
    <sheetView topLeftCell="F2" workbookViewId="0">
      <selection activeCell="T8" sqref="T8"/>
    </sheetView>
  </sheetViews>
  <sheetFormatPr defaultColWidth="9.1640625" defaultRowHeight="12.75" x14ac:dyDescent="0.2"/>
  <cols>
    <col min="1" max="6" width="9.1640625" style="38"/>
    <col min="7" max="7" width="18.83203125" style="2" customWidth="1"/>
    <col min="8" max="8" width="35.33203125" style="2" customWidth="1"/>
    <col min="9" max="9" width="13.83203125" style="2" customWidth="1"/>
    <col min="10" max="10" width="11.83203125" style="2" customWidth="1"/>
    <col min="11" max="11" width="5.5" style="2" customWidth="1"/>
    <col min="12" max="12" width="16.1640625" style="2" customWidth="1"/>
    <col min="13" max="13" width="1.6640625" style="2" customWidth="1"/>
    <col min="14" max="14" width="14.1640625" style="2" customWidth="1"/>
    <col min="15" max="15" width="36.5" style="2" customWidth="1"/>
    <col min="16" max="16" width="7.83203125" style="2" customWidth="1"/>
    <col min="17" max="17" width="14" style="2" customWidth="1"/>
    <col min="18" max="18" width="15.6640625" style="38" customWidth="1"/>
    <col min="19" max="19" width="13.1640625" style="38" customWidth="1"/>
    <col min="20" max="20" width="15" style="38" customWidth="1"/>
    <col min="21" max="21" width="11" style="38" customWidth="1"/>
    <col min="22" max="22" width="9.1640625" style="38" customWidth="1"/>
    <col min="23" max="23" width="12.83203125" style="38" customWidth="1"/>
    <col min="24" max="28" width="9.1640625" style="38" customWidth="1"/>
    <col min="29" max="29" width="10.5" style="38" customWidth="1"/>
    <col min="30" max="30" width="14.1640625" style="38" customWidth="1"/>
    <col min="31" max="32" width="10.5" style="38" customWidth="1"/>
    <col min="33" max="34" width="9.1640625" style="38" customWidth="1"/>
    <col min="35" max="66" width="9.1640625" style="38"/>
    <col min="67" max="16384" width="9.1640625" style="2"/>
  </cols>
  <sheetData>
    <row r="1" spans="7:66" ht="15" hidden="1" customHeight="1" x14ac:dyDescent="0.25">
      <c r="Q1" s="2" t="s">
        <v>0</v>
      </c>
      <c r="R1" s="37"/>
    </row>
    <row r="2" spans="7:66" ht="16.5" thickTop="1" x14ac:dyDescent="0.25">
      <c r="G2" s="218" t="s">
        <v>1</v>
      </c>
      <c r="H2" s="219"/>
      <c r="I2" s="219"/>
      <c r="J2" s="219"/>
      <c r="K2" s="219"/>
      <c r="L2" s="219"/>
      <c r="M2" s="219"/>
      <c r="N2" s="219"/>
      <c r="O2" s="219"/>
      <c r="P2" s="219"/>
      <c r="Q2" s="220"/>
      <c r="R2" s="129"/>
      <c r="T2" s="119">
        <v>52088.6</v>
      </c>
      <c r="U2" s="116" t="s">
        <v>75</v>
      </c>
      <c r="V2" s="102"/>
      <c r="W2" s="102"/>
      <c r="X2" s="102"/>
      <c r="Y2" s="102"/>
      <c r="Z2" s="102"/>
      <c r="AA2" s="103"/>
    </row>
    <row r="3" spans="7:66" ht="12.75" hidden="1" customHeight="1" x14ac:dyDescent="0.2">
      <c r="G3" s="60"/>
      <c r="H3" s="118"/>
      <c r="I3" s="118"/>
      <c r="J3" s="118"/>
      <c r="K3" s="118"/>
      <c r="N3" s="118"/>
      <c r="O3" s="4"/>
      <c r="P3" s="4"/>
      <c r="Q3" s="61"/>
      <c r="R3" s="129"/>
      <c r="S3" s="39"/>
      <c r="T3" s="120"/>
      <c r="AA3" s="104"/>
    </row>
    <row r="4" spans="7:66" ht="3.75" hidden="1" customHeight="1" x14ac:dyDescent="0.2">
      <c r="G4" s="62"/>
      <c r="Q4" s="63"/>
      <c r="R4" s="129"/>
      <c r="T4" s="120"/>
      <c r="AA4" s="104"/>
    </row>
    <row r="5" spans="7:66" ht="13.5" customHeight="1" x14ac:dyDescent="0.25">
      <c r="G5" s="64"/>
      <c r="H5" s="4"/>
      <c r="J5" s="5"/>
      <c r="Q5" s="65"/>
      <c r="R5" s="129"/>
      <c r="T5" s="121">
        <v>4000</v>
      </c>
      <c r="U5" s="105" t="s">
        <v>117</v>
      </c>
      <c r="V5" s="105"/>
      <c r="W5" s="105"/>
      <c r="X5" s="105"/>
      <c r="Y5" s="105"/>
      <c r="Z5" s="105"/>
      <c r="AA5" s="106"/>
      <c r="AB5" s="38">
        <f>T2*T6*12/1000</f>
        <v>926817.46030559996</v>
      </c>
    </row>
    <row r="6" spans="7:66" ht="36" customHeight="1" x14ac:dyDescent="0.2">
      <c r="G6" s="62"/>
      <c r="J6" s="1"/>
      <c r="P6" s="225" t="s">
        <v>74</v>
      </c>
      <c r="Q6" s="226"/>
      <c r="R6" s="129"/>
      <c r="T6" s="134">
        <f>Q27</f>
        <v>1482.758</v>
      </c>
      <c r="U6" s="131" t="s">
        <v>126</v>
      </c>
      <c r="V6" s="131"/>
      <c r="W6" s="131"/>
      <c r="X6" s="131"/>
      <c r="Y6" s="131"/>
      <c r="Z6" s="131"/>
      <c r="AA6" s="131"/>
      <c r="AB6" s="93"/>
      <c r="AC6" s="93"/>
      <c r="AD6" s="93"/>
      <c r="AF6" s="93"/>
      <c r="AH6" s="93"/>
      <c r="AJ6" s="93"/>
      <c r="AL6" s="93"/>
      <c r="AN6" s="93"/>
      <c r="AP6" s="93"/>
      <c r="AR6" s="93"/>
      <c r="AT6" s="93"/>
      <c r="AV6" s="93"/>
      <c r="AX6" s="93"/>
      <c r="AZ6" s="93"/>
      <c r="BB6" s="93"/>
      <c r="BD6" s="93"/>
      <c r="BF6" s="93"/>
      <c r="BH6" s="93"/>
      <c r="BJ6" s="93"/>
      <c r="BL6" s="93"/>
      <c r="BN6" s="93"/>
    </row>
    <row r="7" spans="7:66" ht="12.75" customHeight="1" x14ac:dyDescent="0.25">
      <c r="G7" s="62"/>
      <c r="L7" s="206" t="s">
        <v>3</v>
      </c>
      <c r="N7" s="6" t="s">
        <v>4</v>
      </c>
      <c r="O7" s="6"/>
      <c r="P7" s="6"/>
      <c r="Q7" s="66">
        <f>SUM(Q9:Q13)</f>
        <v>280762.92980000004</v>
      </c>
      <c r="R7" s="129"/>
      <c r="S7" s="40"/>
      <c r="T7" s="122">
        <f>T2*T8</f>
        <v>44934.075000000004</v>
      </c>
      <c r="U7" s="102" t="s">
        <v>123</v>
      </c>
      <c r="V7" s="102"/>
      <c r="W7" s="102"/>
      <c r="X7" s="102"/>
      <c r="Y7" s="102"/>
      <c r="Z7" s="102"/>
      <c r="AA7" s="107"/>
      <c r="AB7" s="93"/>
      <c r="AC7" s="93"/>
      <c r="AD7" s="93"/>
      <c r="AF7" s="93"/>
      <c r="AH7" s="93"/>
      <c r="AJ7" s="93"/>
      <c r="AL7" s="93"/>
      <c r="AN7" s="93"/>
      <c r="AP7" s="93"/>
      <c r="AR7" s="93"/>
      <c r="AT7" s="93"/>
      <c r="AV7" s="93"/>
      <c r="AX7" s="93"/>
      <c r="AZ7" s="93"/>
      <c r="BB7" s="93"/>
      <c r="BD7" s="93"/>
      <c r="BF7" s="93"/>
      <c r="BH7" s="93"/>
      <c r="BJ7" s="93"/>
      <c r="BL7" s="93"/>
      <c r="BN7" s="93"/>
    </row>
    <row r="8" spans="7:66" ht="12.75" customHeight="1" x14ac:dyDescent="0.2">
      <c r="G8" s="67"/>
      <c r="I8" s="2" t="s">
        <v>2</v>
      </c>
      <c r="L8" s="206"/>
      <c r="N8" s="2" t="s">
        <v>5</v>
      </c>
      <c r="Q8" s="63"/>
      <c r="R8" s="129"/>
      <c r="S8" s="43"/>
      <c r="T8" s="124">
        <v>0.86264700913443648</v>
      </c>
      <c r="U8" s="105" t="s">
        <v>122</v>
      </c>
      <c r="V8" s="105"/>
      <c r="W8" s="105"/>
      <c r="X8" s="105">
        <f>AF25/T2</f>
        <v>0.86264700913443648</v>
      </c>
      <c r="Y8" s="142"/>
      <c r="Z8" s="43"/>
      <c r="AA8" s="108"/>
      <c r="AB8" s="93"/>
      <c r="AC8" s="93"/>
      <c r="AD8" s="93"/>
      <c r="AF8" s="93"/>
      <c r="AH8" s="93"/>
      <c r="AJ8" s="93"/>
      <c r="AL8" s="93"/>
      <c r="AN8" s="93"/>
      <c r="AP8" s="93"/>
      <c r="AR8" s="93"/>
      <c r="AT8" s="93"/>
      <c r="AV8" s="93"/>
      <c r="AX8" s="93"/>
      <c r="AZ8" s="93"/>
      <c r="BB8" s="93"/>
      <c r="BD8" s="93"/>
      <c r="BF8" s="93"/>
      <c r="BH8" s="93"/>
      <c r="BJ8" s="93"/>
      <c r="BL8" s="93"/>
      <c r="BN8" s="93"/>
    </row>
    <row r="9" spans="7:66" ht="15" x14ac:dyDescent="0.25">
      <c r="G9" s="68" t="s">
        <v>6</v>
      </c>
      <c r="L9" s="206"/>
      <c r="N9" s="9" t="s">
        <v>7</v>
      </c>
      <c r="O9" s="9"/>
      <c r="P9" s="9"/>
      <c r="Q9" s="69">
        <f>'Консолид_бюджет(текущ)'!Q9</f>
        <v>140718.15400000001</v>
      </c>
      <c r="R9" s="129"/>
      <c r="T9" s="123">
        <v>394</v>
      </c>
      <c r="U9" s="38" t="s">
        <v>89</v>
      </c>
      <c r="Z9" s="43"/>
      <c r="AA9" s="108"/>
      <c r="AB9" s="93"/>
      <c r="AD9" s="93"/>
      <c r="AE9" s="93"/>
      <c r="AF9" s="93"/>
      <c r="AH9" s="93"/>
      <c r="AJ9" s="93"/>
      <c r="AL9" s="93"/>
      <c r="AN9" s="93"/>
      <c r="AP9" s="93"/>
      <c r="AR9" s="93"/>
      <c r="AT9" s="93"/>
      <c r="AV9" s="93"/>
      <c r="AX9" s="93"/>
      <c r="AZ9" s="93"/>
      <c r="BB9" s="93"/>
      <c r="BD9" s="93"/>
      <c r="BF9" s="93"/>
      <c r="BH9" s="93"/>
      <c r="BJ9" s="93"/>
      <c r="BL9" s="93"/>
      <c r="BN9" s="93"/>
    </row>
    <row r="10" spans="7:66" ht="15" x14ac:dyDescent="0.25">
      <c r="G10" s="70"/>
      <c r="H10" s="6" t="s">
        <v>8</v>
      </c>
      <c r="I10" s="10">
        <f>((J71*T6+T11*J88)*T17/1000+T2*T42*15%*T37*12/1000000+T51*13%*T46*12/1000000)</f>
        <v>135838.09494531035</v>
      </c>
      <c r="L10" s="206"/>
      <c r="N10" s="9" t="s">
        <v>71</v>
      </c>
      <c r="O10" s="9"/>
      <c r="P10" s="9"/>
      <c r="Q10" s="69">
        <f>'Консолид_бюджет(текущ)'!Q10</f>
        <v>43180.132700000002</v>
      </c>
      <c r="R10" s="129"/>
      <c r="T10" s="123">
        <v>98.861000000000004</v>
      </c>
      <c r="U10" s="38" t="s">
        <v>94</v>
      </c>
      <c r="AA10" s="108"/>
      <c r="AB10" s="93" t="s">
        <v>77</v>
      </c>
      <c r="AC10" s="99">
        <v>55575</v>
      </c>
      <c r="AD10" s="38" t="s">
        <v>78</v>
      </c>
      <c r="AE10" s="99">
        <v>66018.5</v>
      </c>
      <c r="AF10" s="93" t="s">
        <v>79</v>
      </c>
      <c r="AH10" s="93"/>
      <c r="AJ10" s="93"/>
      <c r="AL10" s="93"/>
      <c r="AN10" s="93"/>
      <c r="AP10" s="93"/>
      <c r="AR10" s="93"/>
      <c r="AT10" s="93"/>
      <c r="AV10" s="93"/>
      <c r="AX10" s="93"/>
      <c r="AZ10" s="93"/>
      <c r="BB10" s="93"/>
      <c r="BD10" s="93"/>
      <c r="BF10" s="93"/>
      <c r="BH10" s="93"/>
      <c r="BJ10" s="93"/>
      <c r="BL10" s="93"/>
      <c r="BN10" s="93"/>
    </row>
    <row r="11" spans="7:66" ht="13.5" x14ac:dyDescent="0.25">
      <c r="G11" s="70"/>
      <c r="H11" s="6"/>
      <c r="I11" s="10"/>
      <c r="L11" s="206"/>
      <c r="N11" s="9" t="s">
        <v>72</v>
      </c>
      <c r="O11" s="9"/>
      <c r="P11" s="9"/>
      <c r="Q11" s="69">
        <f>'Консолид_бюджет(текущ)'!Q11</f>
        <v>14588.1214</v>
      </c>
      <c r="R11" s="129"/>
      <c r="T11" s="120">
        <f>AE10/AC10*T10</f>
        <v>117.43868517318938</v>
      </c>
      <c r="U11" s="38" t="s">
        <v>119</v>
      </c>
      <c r="AA11" s="108"/>
      <c r="AB11" s="93"/>
      <c r="AC11" s="93"/>
      <c r="AD11" s="93"/>
      <c r="AE11" s="93"/>
      <c r="AF11" s="93"/>
      <c r="AH11" s="93"/>
      <c r="AJ11" s="93"/>
      <c r="AL11" s="93"/>
      <c r="AN11" s="93"/>
      <c r="AP11" s="93"/>
      <c r="AR11" s="93"/>
      <c r="AT11" s="93"/>
      <c r="AV11" s="93"/>
      <c r="AX11" s="93"/>
      <c r="AZ11" s="93"/>
      <c r="BB11" s="93"/>
      <c r="BD11" s="93"/>
      <c r="BF11" s="93"/>
      <c r="BH11" s="93"/>
      <c r="BJ11" s="93"/>
      <c r="BL11" s="93"/>
      <c r="BN11" s="93"/>
    </row>
    <row r="12" spans="7:66" ht="13.5" customHeight="1" x14ac:dyDescent="0.25">
      <c r="G12" s="67"/>
      <c r="H12" s="221" t="s">
        <v>47</v>
      </c>
      <c r="I12" s="8"/>
      <c r="L12" s="206"/>
      <c r="N12" s="9" t="s">
        <v>42</v>
      </c>
      <c r="O12" s="9"/>
      <c r="P12" s="9"/>
      <c r="Q12" s="69">
        <f>'Консолид_бюджет(текущ)'!Q12</f>
        <v>25658.8986</v>
      </c>
      <c r="R12" s="129"/>
      <c r="T12" s="124">
        <f>T10*AF25*12*6%</f>
        <v>3198403.8637740002</v>
      </c>
      <c r="U12" s="105" t="s">
        <v>95</v>
      </c>
      <c r="V12" s="105"/>
      <c r="W12" s="105"/>
      <c r="X12" s="105"/>
      <c r="Y12" s="105"/>
      <c r="Z12" s="105"/>
      <c r="AA12" s="115"/>
      <c r="AB12" s="93"/>
      <c r="AC12" s="93"/>
      <c r="AD12" s="93"/>
      <c r="AF12" s="93" t="s">
        <v>80</v>
      </c>
      <c r="AH12" s="93"/>
      <c r="AJ12" s="93"/>
      <c r="AL12" s="93"/>
      <c r="AN12" s="93"/>
      <c r="AP12" s="93"/>
      <c r="AR12" s="93"/>
      <c r="AT12" s="93"/>
      <c r="AV12" s="93"/>
      <c r="AX12" s="93"/>
      <c r="AZ12" s="93"/>
      <c r="BB12" s="93"/>
      <c r="BD12" s="93"/>
      <c r="BF12" s="93"/>
      <c r="BH12" s="93"/>
      <c r="BJ12" s="93"/>
      <c r="BL12" s="93"/>
      <c r="BN12" s="93"/>
    </row>
    <row r="13" spans="7:66" ht="13.5" customHeight="1" x14ac:dyDescent="0.25">
      <c r="G13" s="70"/>
      <c r="H13" s="221"/>
      <c r="I13" s="10">
        <f>T12/1000+T33/1000</f>
        <v>3214.9325637739998</v>
      </c>
      <c r="L13" s="206"/>
      <c r="N13" s="9" t="s">
        <v>73</v>
      </c>
      <c r="O13" s="9"/>
      <c r="P13" s="9"/>
      <c r="Q13" s="69">
        <f>'Консолид_бюджет(текущ)'!Q13</f>
        <v>56617.623099999997</v>
      </c>
      <c r="R13" s="129"/>
      <c r="T13" s="125"/>
      <c r="AA13" s="93"/>
      <c r="AB13" s="93"/>
      <c r="AC13" s="93"/>
      <c r="AD13" s="93"/>
      <c r="AF13" s="100">
        <v>36862</v>
      </c>
      <c r="AH13" s="93"/>
      <c r="AJ13" s="93"/>
      <c r="AL13" s="93"/>
      <c r="AN13" s="93"/>
      <c r="AP13" s="93"/>
      <c r="AR13" s="93"/>
      <c r="AT13" s="93"/>
      <c r="AV13" s="93"/>
      <c r="AX13" s="93"/>
      <c r="AZ13" s="93"/>
      <c r="BB13" s="93"/>
      <c r="BD13" s="93"/>
      <c r="BF13" s="93"/>
      <c r="BH13" s="93"/>
      <c r="BJ13" s="93"/>
      <c r="BL13" s="93"/>
      <c r="BN13" s="93"/>
    </row>
    <row r="14" spans="7:66" ht="7.5" customHeight="1" x14ac:dyDescent="0.25">
      <c r="G14" s="62"/>
      <c r="H14" s="11"/>
      <c r="I14" s="8"/>
      <c r="L14" s="206"/>
      <c r="N14" s="9"/>
      <c r="O14" s="6"/>
      <c r="P14" s="6"/>
      <c r="Q14" s="71"/>
      <c r="R14" s="129"/>
      <c r="T14" s="125"/>
      <c r="AA14" s="93"/>
      <c r="AB14" s="93"/>
      <c r="AC14" s="93"/>
      <c r="AD14" s="93"/>
      <c r="AF14" s="100">
        <f>AF13</f>
        <v>36862</v>
      </c>
      <c r="AH14" s="93"/>
      <c r="AJ14" s="93"/>
      <c r="AL14" s="93"/>
      <c r="AN14" s="93"/>
      <c r="AP14" s="93"/>
      <c r="AR14" s="93"/>
      <c r="AT14" s="93"/>
      <c r="AV14" s="93"/>
      <c r="AX14" s="93"/>
      <c r="AZ14" s="93"/>
      <c r="BB14" s="93"/>
      <c r="BD14" s="93"/>
      <c r="BF14" s="93"/>
      <c r="BH14" s="93"/>
      <c r="BJ14" s="93"/>
      <c r="BL14" s="93"/>
      <c r="BN14" s="93"/>
    </row>
    <row r="15" spans="7:66" ht="6.75" customHeight="1" x14ac:dyDescent="0.2">
      <c r="G15" s="62"/>
      <c r="H15" s="7"/>
      <c r="I15" s="8"/>
      <c r="L15" s="206"/>
      <c r="Q15" s="63"/>
      <c r="R15" s="129"/>
      <c r="T15" s="125"/>
      <c r="AA15" s="93"/>
      <c r="AB15" s="93"/>
      <c r="AC15" s="93"/>
      <c r="AD15" s="93"/>
      <c r="AF15" s="100">
        <f>AF14</f>
        <v>36862</v>
      </c>
      <c r="AH15" s="93"/>
      <c r="AJ15" s="93"/>
      <c r="AL15" s="93"/>
      <c r="AN15" s="93"/>
      <c r="AP15" s="93"/>
      <c r="AR15" s="93"/>
      <c r="AT15" s="93"/>
      <c r="AV15" s="93"/>
      <c r="AX15" s="93"/>
      <c r="AZ15" s="93"/>
      <c r="BB15" s="93"/>
      <c r="BD15" s="93"/>
      <c r="BF15" s="93"/>
      <c r="BH15" s="93"/>
      <c r="BJ15" s="93"/>
      <c r="BL15" s="93"/>
      <c r="BN15" s="93"/>
    </row>
    <row r="16" spans="7:66" ht="17.25" customHeight="1" thickBot="1" x14ac:dyDescent="0.3">
      <c r="G16" s="70"/>
      <c r="H16" s="5" t="s">
        <v>87</v>
      </c>
      <c r="I16" s="7"/>
      <c r="L16" s="206"/>
      <c r="N16" s="222" t="s">
        <v>56</v>
      </c>
      <c r="O16" s="223"/>
      <c r="P16" s="223"/>
      <c r="Q16" s="224"/>
      <c r="R16" s="129"/>
      <c r="T16" s="122">
        <v>99124</v>
      </c>
      <c r="U16" s="102" t="s">
        <v>121</v>
      </c>
      <c r="V16" s="102"/>
      <c r="W16" s="102"/>
      <c r="X16" s="102"/>
      <c r="Y16" s="102"/>
      <c r="Z16" s="102"/>
      <c r="AA16" s="102"/>
      <c r="AB16" s="103"/>
      <c r="AC16" s="93"/>
      <c r="AD16" s="93"/>
      <c r="AF16" s="100">
        <v>45365</v>
      </c>
      <c r="AH16" s="93"/>
      <c r="AJ16" s="93"/>
      <c r="AL16" s="93"/>
      <c r="AN16" s="93"/>
      <c r="AP16" s="93"/>
      <c r="AR16" s="93"/>
      <c r="AT16" s="93"/>
      <c r="AV16" s="93"/>
      <c r="AX16" s="93"/>
      <c r="AZ16" s="93"/>
      <c r="BB16" s="93"/>
      <c r="BD16" s="93"/>
      <c r="BF16" s="93"/>
      <c r="BH16" s="93"/>
      <c r="BJ16" s="93"/>
      <c r="BL16" s="93"/>
      <c r="BN16" s="93"/>
    </row>
    <row r="17" spans="7:66" ht="14.25" customHeight="1" x14ac:dyDescent="0.25">
      <c r="G17" s="72"/>
      <c r="H17" s="5" t="s">
        <v>88</v>
      </c>
      <c r="I17" s="10">
        <f>T2*(2.9%+5.1%)*12*T6/1000</f>
        <v>74145.396824447977</v>
      </c>
      <c r="L17" s="206"/>
      <c r="N17" s="27"/>
      <c r="O17" s="28" t="s">
        <v>76</v>
      </c>
      <c r="P17" s="28"/>
      <c r="Q17" s="73">
        <f>ROUND(T2,1)</f>
        <v>52088.6</v>
      </c>
      <c r="R17" s="129"/>
      <c r="T17" s="124">
        <v>0.92525296006285551</v>
      </c>
      <c r="U17" s="105" t="s">
        <v>122</v>
      </c>
      <c r="V17" s="105"/>
      <c r="W17" s="105"/>
      <c r="X17" s="105">
        <f>T16/((T6*J71+T11*J88)/1000)</f>
        <v>0.78262988667664235</v>
      </c>
      <c r="Y17" s="105"/>
      <c r="Z17" s="105"/>
      <c r="AA17" s="105"/>
      <c r="AB17" s="106"/>
      <c r="AC17" s="93"/>
      <c r="AD17" s="93"/>
      <c r="AF17" s="100">
        <f t="shared" ref="AF17:AF18" si="0">AF16</f>
        <v>45365</v>
      </c>
      <c r="AH17" s="93"/>
      <c r="AJ17" s="93"/>
      <c r="AL17" s="93"/>
      <c r="AN17" s="93"/>
      <c r="AP17" s="93"/>
      <c r="AR17" s="93"/>
      <c r="AT17" s="93"/>
      <c r="AV17" s="93"/>
      <c r="AX17" s="93"/>
      <c r="AZ17" s="93"/>
      <c r="BB17" s="93"/>
      <c r="BD17" s="93"/>
      <c r="BF17" s="93"/>
      <c r="BH17" s="93"/>
      <c r="BJ17" s="93"/>
      <c r="BL17" s="93"/>
      <c r="BN17" s="93"/>
    </row>
    <row r="18" spans="7:66" ht="3" customHeight="1" x14ac:dyDescent="0.2">
      <c r="G18" s="67"/>
      <c r="H18" s="5"/>
      <c r="L18" s="206"/>
      <c r="N18" s="29"/>
      <c r="Q18" s="74"/>
      <c r="R18" s="129"/>
      <c r="T18" s="126"/>
      <c r="U18" s="102"/>
      <c r="V18" s="102"/>
      <c r="W18" s="102"/>
      <c r="X18" s="102"/>
      <c r="Y18" s="102"/>
      <c r="Z18" s="102"/>
      <c r="AA18" s="102"/>
      <c r="AB18" s="103"/>
      <c r="AD18" s="93"/>
      <c r="AF18" s="100">
        <f t="shared" si="0"/>
        <v>45365</v>
      </c>
      <c r="AH18" s="93"/>
      <c r="AJ18" s="93"/>
      <c r="AL18" s="93"/>
      <c r="AN18" s="93"/>
      <c r="AP18" s="93"/>
      <c r="AR18" s="93"/>
      <c r="AT18" s="93"/>
      <c r="AV18" s="93"/>
      <c r="AX18" s="93"/>
      <c r="AZ18" s="93"/>
      <c r="BB18" s="93"/>
      <c r="BD18" s="93"/>
      <c r="BF18" s="93"/>
      <c r="BH18" s="93"/>
      <c r="BJ18" s="93"/>
      <c r="BL18" s="93"/>
      <c r="BN18" s="93"/>
    </row>
    <row r="19" spans="7:66" ht="15" x14ac:dyDescent="0.25">
      <c r="G19" s="70"/>
      <c r="H19" s="6"/>
      <c r="I19" s="4" t="s">
        <v>9</v>
      </c>
      <c r="J19" s="12">
        <f>I10+I13+I17</f>
        <v>213198.42433353234</v>
      </c>
      <c r="L19" s="206"/>
      <c r="N19" s="29"/>
      <c r="O19" s="13" t="s">
        <v>86</v>
      </c>
      <c r="P19" s="13"/>
      <c r="Q19" s="74">
        <f>ROUND(T6,1)</f>
        <v>1482.8</v>
      </c>
      <c r="R19" s="129"/>
      <c r="T19" s="123">
        <v>241.55799999999999</v>
      </c>
      <c r="U19" s="38" t="s">
        <v>90</v>
      </c>
      <c r="AA19" s="93"/>
      <c r="AB19" s="108"/>
      <c r="AC19" s="93"/>
      <c r="AD19" s="93"/>
      <c r="AF19" s="100">
        <v>44973</v>
      </c>
      <c r="AH19" s="93"/>
      <c r="AJ19" s="93"/>
      <c r="AL19" s="93"/>
      <c r="AN19" s="93"/>
      <c r="AP19" s="93"/>
      <c r="AR19" s="93"/>
      <c r="AT19" s="93"/>
      <c r="AV19" s="93"/>
      <c r="AX19" s="93"/>
      <c r="AZ19" s="93"/>
      <c r="BB19" s="93"/>
      <c r="BD19" s="93"/>
      <c r="BF19" s="93"/>
      <c r="BH19" s="93"/>
      <c r="BJ19" s="93"/>
      <c r="BL19" s="93"/>
      <c r="BN19" s="93"/>
    </row>
    <row r="20" spans="7:66" ht="18" customHeight="1" thickBot="1" x14ac:dyDescent="0.3">
      <c r="G20" s="67"/>
      <c r="H20" s="6"/>
      <c r="I20" s="10"/>
      <c r="J20" s="7"/>
      <c r="L20" s="206"/>
      <c r="N20" s="210" t="s">
        <v>15</v>
      </c>
      <c r="O20" s="211"/>
      <c r="P20" s="30"/>
      <c r="Q20" s="75">
        <f>Q7-J19</f>
        <v>67564.505466467701</v>
      </c>
      <c r="R20" s="129"/>
      <c r="T20" s="120">
        <f>T6+T19</f>
        <v>1724.316</v>
      </c>
      <c r="U20" s="38" t="s">
        <v>61</v>
      </c>
      <c r="AA20" s="93"/>
      <c r="AB20" s="108"/>
      <c r="AC20" s="94"/>
      <c r="AF20" s="100">
        <f t="shared" ref="AF20:AF21" si="1">AF19</f>
        <v>44973</v>
      </c>
    </row>
    <row r="21" spans="7:66" ht="6.75" customHeight="1" x14ac:dyDescent="0.2">
      <c r="G21" s="67"/>
      <c r="H21" s="6"/>
      <c r="L21" s="182" t="s">
        <v>10</v>
      </c>
      <c r="N21" s="132"/>
      <c r="O21" s="132"/>
      <c r="P21" s="132"/>
      <c r="Q21" s="133"/>
      <c r="R21" s="129"/>
      <c r="T21" s="120"/>
      <c r="AB21" s="104"/>
      <c r="AF21" s="100">
        <f t="shared" si="1"/>
        <v>44973</v>
      </c>
    </row>
    <row r="22" spans="7:66" ht="16.5" customHeight="1" x14ac:dyDescent="0.2">
      <c r="G22" s="67"/>
      <c r="H22" s="6" t="s">
        <v>11</v>
      </c>
      <c r="I22" s="58">
        <f>'Консолид_бюджет(текущ)'!I22</f>
        <v>166083.99904143999</v>
      </c>
      <c r="L22" s="183"/>
      <c r="N22" s="132"/>
      <c r="O22" s="132"/>
      <c r="P22" s="132"/>
      <c r="Q22" s="133"/>
      <c r="R22" s="129"/>
      <c r="T22" s="120">
        <v>2431.35</v>
      </c>
      <c r="U22" s="38" t="s">
        <v>81</v>
      </c>
      <c r="AB22" s="104"/>
      <c r="AF22" s="100">
        <v>52536.3</v>
      </c>
    </row>
    <row r="23" spans="7:66" ht="17.25" customHeight="1" x14ac:dyDescent="0.2">
      <c r="G23" s="67"/>
      <c r="H23" s="6" t="s">
        <v>43</v>
      </c>
      <c r="I23" s="58">
        <f>'Консолид_бюджет(текущ)'!I23</f>
        <v>18793.552486085999</v>
      </c>
      <c r="L23" s="183"/>
      <c r="N23" s="132"/>
      <c r="O23" s="204" t="s">
        <v>59</v>
      </c>
      <c r="P23" s="204"/>
      <c r="Q23" s="205">
        <v>1</v>
      </c>
      <c r="R23" s="129"/>
      <c r="T23" s="124"/>
      <c r="U23" s="105"/>
      <c r="V23" s="105"/>
      <c r="W23" s="105"/>
      <c r="X23" s="105"/>
      <c r="Y23" s="105"/>
      <c r="Z23" s="105"/>
      <c r="AA23" s="105"/>
      <c r="AB23" s="106"/>
      <c r="AF23" s="100">
        <f t="shared" ref="AF23:AF24" si="2">AF22</f>
        <v>52536.3</v>
      </c>
    </row>
    <row r="24" spans="7:66" ht="6.75" customHeight="1" x14ac:dyDescent="0.2">
      <c r="G24" s="67"/>
      <c r="H24" s="6"/>
      <c r="I24" s="58"/>
      <c r="L24" s="183"/>
      <c r="N24" s="132"/>
      <c r="O24" s="204"/>
      <c r="P24" s="204"/>
      <c r="Q24" s="205"/>
      <c r="R24" s="129"/>
      <c r="T24" s="125"/>
      <c r="AF24" s="100">
        <f t="shared" si="2"/>
        <v>52536.3</v>
      </c>
    </row>
    <row r="25" spans="7:66" ht="15" x14ac:dyDescent="0.25">
      <c r="G25" s="67"/>
      <c r="H25" s="6" t="s">
        <v>12</v>
      </c>
      <c r="I25" s="58">
        <f>'Консолид_бюджет(текущ)'!I25</f>
        <v>51630.810465069997</v>
      </c>
      <c r="L25" s="183"/>
      <c r="N25" s="132"/>
      <c r="O25" s="204"/>
      <c r="P25" s="204"/>
      <c r="Q25" s="205"/>
      <c r="R25" s="129"/>
      <c r="T25" s="122">
        <v>275.60199999999998</v>
      </c>
      <c r="U25" s="102" t="s">
        <v>82</v>
      </c>
      <c r="V25" s="102"/>
      <c r="W25" s="102"/>
      <c r="X25" s="103"/>
      <c r="AF25" s="101">
        <f>AVERAGE(AF13:AF24)</f>
        <v>44934.075000000004</v>
      </c>
    </row>
    <row r="26" spans="7:66" ht="6.75" customHeight="1" x14ac:dyDescent="0.2">
      <c r="G26" s="67"/>
      <c r="H26" s="6"/>
      <c r="I26" s="58"/>
      <c r="L26" s="183"/>
      <c r="N26" s="132"/>
      <c r="O26" s="132"/>
      <c r="P26" s="132"/>
      <c r="Q26" s="133"/>
      <c r="R26" s="129"/>
      <c r="T26" s="120"/>
      <c r="X26" s="104"/>
    </row>
    <row r="27" spans="7:66" ht="14.25" customHeight="1" x14ac:dyDescent="0.2">
      <c r="G27" s="79" t="s">
        <v>13</v>
      </c>
      <c r="H27" s="6" t="s">
        <v>14</v>
      </c>
      <c r="I27" s="58">
        <f>'Консолид_бюджет(текущ)'!I27</f>
        <v>42831.928368959998</v>
      </c>
      <c r="L27" s="183"/>
      <c r="N27" s="132"/>
      <c r="O27" s="132" t="s">
        <v>127</v>
      </c>
      <c r="P27" s="132"/>
      <c r="Q27" s="133">
        <f>'Консолид_бюджет(текущ)'!T6+'Консолид_бюджет(текущ)'!T19*'Подбор "серый рынок"'!Q23</f>
        <v>1482.758</v>
      </c>
      <c r="R27" s="129"/>
      <c r="T27" s="128">
        <v>0.3</v>
      </c>
      <c r="U27" s="38" t="s">
        <v>83</v>
      </c>
      <c r="X27" s="104"/>
    </row>
    <row r="28" spans="7:66" ht="6.75" customHeight="1" x14ac:dyDescent="0.2">
      <c r="G28" s="79"/>
      <c r="H28" s="6"/>
      <c r="I28" s="58"/>
      <c r="L28" s="183"/>
      <c r="N28" s="132"/>
      <c r="O28" s="132"/>
      <c r="P28" s="132"/>
      <c r="Q28" s="133"/>
      <c r="R28" s="129"/>
      <c r="T28" s="150">
        <f>T25*T27</f>
        <v>82.680599999999984</v>
      </c>
      <c r="U28" s="151" t="s">
        <v>84</v>
      </c>
      <c r="V28" s="151"/>
      <c r="W28" s="151"/>
      <c r="X28" s="104"/>
    </row>
    <row r="29" spans="7:66" ht="7.5" customHeight="1" x14ac:dyDescent="0.2">
      <c r="G29" s="67"/>
      <c r="H29" s="221" t="s">
        <v>46</v>
      </c>
      <c r="I29" s="181">
        <f>'Консолид_бюджет(текущ)'!I29</f>
        <v>117.68817423</v>
      </c>
      <c r="L29" s="183"/>
      <c r="N29" s="132"/>
      <c r="O29" s="132"/>
      <c r="P29" s="132"/>
      <c r="Q29" s="133"/>
      <c r="R29" s="129"/>
      <c r="T29" s="150"/>
      <c r="U29" s="151"/>
      <c r="V29" s="151"/>
      <c r="W29" s="151"/>
      <c r="X29" s="104"/>
      <c r="AD29" s="148"/>
    </row>
    <row r="30" spans="7:66" ht="9" customHeight="1" x14ac:dyDescent="0.2">
      <c r="G30" s="67"/>
      <c r="H30" s="221"/>
      <c r="I30" s="181"/>
      <c r="L30" s="183"/>
      <c r="N30" s="132"/>
      <c r="O30" s="132"/>
      <c r="P30" s="132"/>
      <c r="Q30" s="133"/>
      <c r="R30" s="217"/>
      <c r="S30" s="216"/>
      <c r="T30" s="150">
        <f>ROUND(T2/39588.3*26171.08,2)</f>
        <v>34434.79</v>
      </c>
      <c r="X30" s="104"/>
      <c r="AD30" s="149"/>
    </row>
    <row r="31" spans="7:66" ht="9" customHeight="1" x14ac:dyDescent="0.2">
      <c r="G31" s="67"/>
      <c r="H31" s="221"/>
      <c r="I31" s="181"/>
      <c r="L31" s="183"/>
      <c r="N31" s="132"/>
      <c r="O31" s="132"/>
      <c r="P31" s="132"/>
      <c r="Q31" s="133"/>
      <c r="R31" s="217"/>
      <c r="S31" s="216"/>
      <c r="T31" s="150"/>
      <c r="U31" s="38" t="s">
        <v>85</v>
      </c>
      <c r="X31" s="104"/>
    </row>
    <row r="32" spans="7:66" ht="9" customHeight="1" x14ac:dyDescent="0.2">
      <c r="G32" s="67"/>
      <c r="H32" s="221"/>
      <c r="I32" s="181"/>
      <c r="L32" s="183"/>
      <c r="N32" s="132"/>
      <c r="O32" s="132"/>
      <c r="P32" s="132"/>
      <c r="Q32" s="133"/>
      <c r="R32" s="129"/>
      <c r="T32" s="120"/>
      <c r="X32" s="104"/>
    </row>
    <row r="33" spans="7:29" ht="24.75" customHeight="1" x14ac:dyDescent="0.2">
      <c r="G33" s="67"/>
      <c r="H33" s="36" t="s">
        <v>16</v>
      </c>
      <c r="I33" s="59">
        <f>'Консолид_бюджет(текущ)'!I33</f>
        <v>1366.00190716</v>
      </c>
      <c r="L33" s="183"/>
      <c r="N33" s="132"/>
      <c r="O33" s="132"/>
      <c r="P33" s="132"/>
      <c r="Q33" s="133"/>
      <c r="R33" s="129"/>
      <c r="S33" s="41"/>
      <c r="T33" s="124">
        <f>ROUND(T30*0.04*12,2)</f>
        <v>16528.7</v>
      </c>
      <c r="U33" s="105" t="s">
        <v>95</v>
      </c>
      <c r="V33" s="105"/>
      <c r="W33" s="105"/>
      <c r="X33" s="106"/>
    </row>
    <row r="34" spans="7:29" ht="4.5" customHeight="1" x14ac:dyDescent="0.2">
      <c r="G34" s="67"/>
      <c r="I34" s="8"/>
      <c r="L34" s="183"/>
      <c r="N34" s="132"/>
      <c r="O34" s="132"/>
      <c r="P34" s="132"/>
      <c r="Q34" s="133"/>
      <c r="R34" s="129"/>
      <c r="T34" s="125"/>
    </row>
    <row r="35" spans="7:29" ht="15.75" customHeight="1" x14ac:dyDescent="0.2">
      <c r="G35" s="62"/>
      <c r="I35" s="4" t="s">
        <v>9</v>
      </c>
      <c r="J35" s="12">
        <f>I22+I23+I25+I27+I29+I33</f>
        <v>280823.98044294596</v>
      </c>
      <c r="L35" s="184"/>
      <c r="N35" s="132"/>
      <c r="O35" s="132"/>
      <c r="P35" s="132"/>
      <c r="Q35" s="133"/>
      <c r="R35" s="129"/>
      <c r="T35" s="127">
        <v>1E-3</v>
      </c>
      <c r="U35" s="102" t="s">
        <v>91</v>
      </c>
      <c r="V35" s="102"/>
      <c r="W35" s="102"/>
      <c r="X35" s="102"/>
      <c r="Y35" s="102"/>
      <c r="Z35" s="102"/>
      <c r="AA35" s="102"/>
      <c r="AB35" s="102"/>
      <c r="AC35" s="103"/>
    </row>
    <row r="36" spans="7:29" ht="8.25" customHeight="1" x14ac:dyDescent="0.2">
      <c r="G36" s="62"/>
      <c r="I36" s="8"/>
      <c r="N36" s="132"/>
      <c r="O36" s="132"/>
      <c r="P36" s="132"/>
      <c r="Q36" s="133"/>
      <c r="R36" s="129"/>
      <c r="T36" s="120"/>
      <c r="AC36" s="104"/>
    </row>
    <row r="37" spans="7:29" ht="15.75" customHeight="1" x14ac:dyDescent="0.2">
      <c r="G37" s="62"/>
      <c r="N37" s="132"/>
      <c r="O37" s="132"/>
      <c r="P37" s="132"/>
      <c r="Q37" s="133"/>
      <c r="R37" s="129"/>
      <c r="T37" s="120">
        <f>T6*T35*1000</f>
        <v>1482.758</v>
      </c>
      <c r="U37" s="38" t="s">
        <v>92</v>
      </c>
      <c r="AC37" s="104"/>
    </row>
    <row r="38" spans="7:29" ht="15" x14ac:dyDescent="0.25">
      <c r="G38" s="62"/>
      <c r="Q38" s="63"/>
      <c r="R38" s="129"/>
      <c r="T38" s="123">
        <v>12867.91947922</v>
      </c>
      <c r="U38" s="38" t="s">
        <v>93</v>
      </c>
      <c r="AC38" s="104"/>
    </row>
    <row r="39" spans="7:29" ht="2.25" customHeight="1" x14ac:dyDescent="0.2">
      <c r="G39" s="62"/>
      <c r="H39" s="2" t="s">
        <v>17</v>
      </c>
      <c r="Q39" s="63"/>
      <c r="R39" s="129"/>
      <c r="T39" s="120"/>
      <c r="AC39" s="104"/>
    </row>
    <row r="40" spans="7:29" ht="27" customHeight="1" x14ac:dyDescent="0.2">
      <c r="G40" s="81" t="s">
        <v>18</v>
      </c>
      <c r="H40" s="117" t="s">
        <v>48</v>
      </c>
      <c r="I40" s="188" t="s">
        <v>19</v>
      </c>
      <c r="J40" s="188"/>
      <c r="K40" s="188"/>
      <c r="L40" s="188" t="s">
        <v>20</v>
      </c>
      <c r="M40" s="188"/>
      <c r="N40" s="188"/>
      <c r="O40" s="23" t="s">
        <v>21</v>
      </c>
      <c r="P40" s="227" t="s">
        <v>15</v>
      </c>
      <c r="Q40" s="228"/>
      <c r="R40" s="129"/>
      <c r="T40" s="120">
        <f>T38/T37/12*1000000</f>
        <v>723197.32772868755</v>
      </c>
      <c r="U40" s="38" t="s">
        <v>124</v>
      </c>
      <c r="AC40" s="104"/>
    </row>
    <row r="41" spans="7:29" ht="17.25" customHeight="1" x14ac:dyDescent="0.2">
      <c r="G41" s="82" t="s">
        <v>52</v>
      </c>
      <c r="H41" s="31">
        <f>'Консолид_бюджет(текущ)'!H41</f>
        <v>1241.2</v>
      </c>
      <c r="I41" s="229">
        <f>'Консолид_бюджет(текущ)'!I41:K41</f>
        <v>52088.6</v>
      </c>
      <c r="J41" s="230"/>
      <c r="K41" s="231"/>
      <c r="L41" s="232">
        <f>'Консолид_бюджет(текущ)'!L41:N41</f>
        <v>180551.06607045396</v>
      </c>
      <c r="M41" s="233"/>
      <c r="N41" s="234"/>
      <c r="O41" s="31">
        <f>Q7</f>
        <v>280762.92980000004</v>
      </c>
      <c r="P41" s="200">
        <f>'Консолид_бюджет(текущ)'!P41:Q41</f>
        <v>100211.86372954608</v>
      </c>
      <c r="Q41" s="201"/>
      <c r="R41" s="129"/>
      <c r="T41" s="120">
        <f>T40/15%*100%</f>
        <v>4821315.518191251</v>
      </c>
      <c r="U41" s="38" t="s">
        <v>116</v>
      </c>
      <c r="AC41" s="104"/>
    </row>
    <row r="42" spans="7:29" x14ac:dyDescent="0.2">
      <c r="G42" s="83" t="s">
        <v>44</v>
      </c>
      <c r="H42" s="25">
        <f>'Подбор численности'!H42</f>
        <v>1982.8</v>
      </c>
      <c r="I42" s="164">
        <f>'Подбор численности'!I42:K42</f>
        <v>52088.6</v>
      </c>
      <c r="J42" s="165"/>
      <c r="K42" s="166"/>
      <c r="L42" s="164">
        <f>'Подбор численности'!L42:N42</f>
        <v>280762.92980024207</v>
      </c>
      <c r="M42" s="167"/>
      <c r="N42" s="166"/>
      <c r="O42" s="25">
        <f>$Q$7</f>
        <v>280762.92980000004</v>
      </c>
      <c r="P42" s="156">
        <f>O42-L42</f>
        <v>-2.4202745407819748E-7</v>
      </c>
      <c r="Q42" s="157"/>
      <c r="R42" s="129"/>
      <c r="T42" s="124">
        <v>110.57358175328571</v>
      </c>
      <c r="U42" s="105" t="s">
        <v>122</v>
      </c>
      <c r="V42" s="105"/>
      <c r="W42" s="105"/>
      <c r="X42" s="105">
        <f>T41/T2</f>
        <v>92.559898292356692</v>
      </c>
      <c r="Y42" s="105"/>
      <c r="Z42" s="105"/>
      <c r="AA42" s="105"/>
      <c r="AB42" s="105"/>
      <c r="AC42" s="106"/>
    </row>
    <row r="43" spans="7:29" ht="6" customHeight="1" x14ac:dyDescent="0.2">
      <c r="G43" s="84"/>
      <c r="H43" s="24"/>
      <c r="I43" s="162"/>
      <c r="J43" s="171"/>
      <c r="K43" s="172"/>
      <c r="L43" s="162"/>
      <c r="M43" s="171"/>
      <c r="N43" s="172"/>
      <c r="O43" s="24"/>
      <c r="P43" s="162"/>
      <c r="Q43" s="163"/>
      <c r="R43" s="129"/>
      <c r="T43" s="125"/>
    </row>
    <row r="44" spans="7:29" ht="15" x14ac:dyDescent="0.25">
      <c r="G44" s="83" t="s">
        <v>45</v>
      </c>
      <c r="H44" s="25">
        <f>'Подбор зарплаты'!H44</f>
        <v>1241.2</v>
      </c>
      <c r="I44" s="158">
        <f>'Подбор зарплаты'!I44</f>
        <v>81648.694480473467</v>
      </c>
      <c r="J44" s="189"/>
      <c r="K44" s="190"/>
      <c r="L44" s="158">
        <f>'Подбор зарплаты'!L44</f>
        <v>280762.92980287131</v>
      </c>
      <c r="M44" s="189"/>
      <c r="N44" s="190"/>
      <c r="O44" s="25">
        <f>$Q$7</f>
        <v>280762.92980000004</v>
      </c>
      <c r="P44" s="158">
        <f>O44-L44</f>
        <v>-2.8712674975395203E-6</v>
      </c>
      <c r="Q44" s="159"/>
      <c r="R44" s="129"/>
      <c r="T44" s="122">
        <f>SUM(Y74:Y80)/1000000</f>
        <v>3277.9385202600001</v>
      </c>
      <c r="U44" s="102" t="s">
        <v>112</v>
      </c>
      <c r="V44" s="102"/>
      <c r="W44" s="102"/>
      <c r="X44" s="102"/>
      <c r="Y44" s="102"/>
      <c r="Z44" s="102"/>
      <c r="AA44" s="102"/>
      <c r="AB44" s="102"/>
      <c r="AC44" s="103"/>
    </row>
    <row r="45" spans="7:29" ht="6.75" customHeight="1" x14ac:dyDescent="0.2">
      <c r="G45" s="83"/>
      <c r="H45" s="26"/>
      <c r="I45" s="197"/>
      <c r="J45" s="198"/>
      <c r="K45" s="199"/>
      <c r="L45" s="173"/>
      <c r="M45" s="174"/>
      <c r="N45" s="175"/>
      <c r="O45" s="25"/>
      <c r="P45" s="158"/>
      <c r="Q45" s="159"/>
      <c r="R45" s="129"/>
      <c r="T45" s="120"/>
      <c r="AC45" s="104"/>
    </row>
    <row r="46" spans="7:29" ht="22.5" customHeight="1" x14ac:dyDescent="0.25">
      <c r="G46" s="135" t="s">
        <v>22</v>
      </c>
      <c r="H46" s="138">
        <f>$Q$19</f>
        <v>1482.8</v>
      </c>
      <c r="I46" s="253">
        <f>$T$2</f>
        <v>52088.6</v>
      </c>
      <c r="J46" s="254"/>
      <c r="K46" s="255"/>
      <c r="L46" s="256">
        <f>$J$19</f>
        <v>213198.42433353234</v>
      </c>
      <c r="M46" s="257"/>
      <c r="N46" s="258"/>
      <c r="O46" s="137">
        <f>Q7</f>
        <v>280762.92980000004</v>
      </c>
      <c r="P46" s="235">
        <f>O46-L46</f>
        <v>67564.505466467701</v>
      </c>
      <c r="Q46" s="236"/>
      <c r="R46" s="129"/>
      <c r="T46" s="123">
        <v>4000854</v>
      </c>
      <c r="U46" s="38" t="s">
        <v>113</v>
      </c>
      <c r="AC46" s="104"/>
    </row>
    <row r="47" spans="7:29" ht="6.75" hidden="1" customHeight="1" x14ac:dyDescent="0.2">
      <c r="G47" s="176" t="s">
        <v>23</v>
      </c>
      <c r="H47" s="18"/>
      <c r="I47" s="14"/>
      <c r="J47" s="8"/>
      <c r="K47" s="15"/>
      <c r="L47" s="14"/>
      <c r="N47" s="15"/>
      <c r="O47" s="16"/>
      <c r="Q47" s="63"/>
      <c r="R47" s="129"/>
      <c r="T47" s="120"/>
      <c r="AC47" s="104"/>
    </row>
    <row r="48" spans="7:29" ht="43.5" hidden="1" customHeight="1" thickBot="1" x14ac:dyDescent="0.25">
      <c r="G48" s="177"/>
      <c r="H48" s="19">
        <v>1901</v>
      </c>
      <c r="I48" s="20" t="s">
        <v>24</v>
      </c>
      <c r="J48" s="21">
        <v>5060</v>
      </c>
      <c r="K48" s="17"/>
      <c r="L48" s="178">
        <v>23169</v>
      </c>
      <c r="M48" s="179"/>
      <c r="N48" s="180"/>
      <c r="O48" s="22">
        <v>23169</v>
      </c>
      <c r="P48" s="32"/>
      <c r="Q48" s="63"/>
      <c r="R48" s="129"/>
      <c r="T48" s="120"/>
      <c r="AC48" s="104"/>
    </row>
    <row r="49" spans="7:29" ht="7.5" customHeight="1" x14ac:dyDescent="0.2">
      <c r="G49" s="62"/>
      <c r="Q49" s="63"/>
      <c r="R49" s="129"/>
      <c r="T49" s="120"/>
      <c r="AC49" s="104"/>
    </row>
    <row r="50" spans="7:29" x14ac:dyDescent="0.2">
      <c r="G50" s="62" t="s">
        <v>49</v>
      </c>
      <c r="Q50" s="63"/>
      <c r="R50" s="129"/>
      <c r="T50" s="120">
        <f>T44/T46*1000000/12</f>
        <v>68.27580895353843</v>
      </c>
      <c r="U50" s="38" t="s">
        <v>114</v>
      </c>
      <c r="AC50" s="104"/>
    </row>
    <row r="51" spans="7:29" ht="18.75" thickBot="1" x14ac:dyDescent="0.3">
      <c r="G51" s="86" t="s">
        <v>50</v>
      </c>
      <c r="H51" s="87"/>
      <c r="I51" s="87"/>
      <c r="J51" s="88"/>
      <c r="K51" s="89"/>
      <c r="L51" s="87"/>
      <c r="M51" s="87"/>
      <c r="N51" s="87"/>
      <c r="O51" s="87"/>
      <c r="P51" s="87"/>
      <c r="Q51" s="90"/>
      <c r="R51" s="129"/>
      <c r="T51" s="120">
        <f>T50/13%*100%</f>
        <v>525.1985304118341</v>
      </c>
      <c r="U51" s="38" t="s">
        <v>115</v>
      </c>
      <c r="AC51" s="104"/>
    </row>
    <row r="52" spans="7:29" s="38" customFormat="1" ht="27" customHeight="1" thickTop="1" x14ac:dyDescent="0.25">
      <c r="J52" s="42"/>
      <c r="K52" s="43"/>
      <c r="Q52" s="43"/>
      <c r="T52" s="55"/>
      <c r="U52" s="105"/>
      <c r="V52" s="105"/>
      <c r="W52" s="105"/>
      <c r="X52" s="105"/>
      <c r="Y52" s="105"/>
      <c r="Z52" s="105"/>
      <c r="AA52" s="105"/>
      <c r="AB52" s="105"/>
      <c r="AC52" s="106"/>
    </row>
    <row r="53" spans="7:29" s="38" customFormat="1" x14ac:dyDescent="0.2">
      <c r="H53" s="44" t="s">
        <v>25</v>
      </c>
      <c r="I53" s="45">
        <v>2E-3</v>
      </c>
    </row>
    <row r="54" spans="7:29" s="38" customFormat="1" x14ac:dyDescent="0.2">
      <c r="H54" s="43" t="s">
        <v>26</v>
      </c>
      <c r="I54" s="46">
        <f>1-J71/(T2*13%*12)</f>
        <v>1.5754118623516056E-2</v>
      </c>
    </row>
    <row r="55" spans="7:29" s="38" customFormat="1" x14ac:dyDescent="0.2">
      <c r="H55" s="43"/>
      <c r="I55" s="46"/>
      <c r="J55" s="38">
        <f>852.21+142.005*98.6%+3.093+1.243+0.312+0.12+0.089+3.151+1.598+0.551+0.237+0.196+14.557+10.25+2.986+1.043+0.509</f>
        <v>1032.1619300000002</v>
      </c>
      <c r="K55" s="38" t="s">
        <v>118</v>
      </c>
    </row>
    <row r="56" spans="7:29" s="38" customFormat="1" x14ac:dyDescent="0.2">
      <c r="J56" s="38">
        <f>J55/T6</f>
        <v>0.6961094999993257</v>
      </c>
      <c r="K56" s="38" t="s">
        <v>55</v>
      </c>
      <c r="O56" s="38">
        <f>J71*T6/1000</f>
        <v>118588.11485216796</v>
      </c>
    </row>
    <row r="57" spans="7:29" s="38" customFormat="1" ht="39.75" customHeight="1" x14ac:dyDescent="0.2">
      <c r="H57" s="146" t="s">
        <v>27</v>
      </c>
      <c r="I57" s="147"/>
      <c r="J57" s="47">
        <f>1400*J56</f>
        <v>974.55329999905598</v>
      </c>
      <c r="K57" s="38" t="s">
        <v>54</v>
      </c>
      <c r="U57" s="155" t="s">
        <v>63</v>
      </c>
      <c r="V57" s="155"/>
      <c r="W57" s="155"/>
      <c r="X57" s="155"/>
      <c r="Y57" s="155"/>
    </row>
    <row r="58" spans="7:29" s="38" customFormat="1" ht="25.5" x14ac:dyDescent="0.2">
      <c r="H58" s="48"/>
      <c r="I58" s="49" t="s">
        <v>28</v>
      </c>
      <c r="J58" s="50" t="s">
        <v>29</v>
      </c>
      <c r="O58" s="38">
        <f>J55+142.005+3.093+1.243+0.312+0.12+0.089+3.151+1.598+0.551+0.237+0.196+14.557+10.25+2.986+1.043+0.509</f>
        <v>1214.10193</v>
      </c>
      <c r="U58" s="152" t="s">
        <v>64</v>
      </c>
      <c r="V58" s="154" t="s">
        <v>65</v>
      </c>
      <c r="W58" s="154"/>
      <c r="X58" s="154"/>
      <c r="Y58" s="154"/>
    </row>
    <row r="59" spans="7:29" s="38" customFormat="1" ht="84" x14ac:dyDescent="0.2">
      <c r="H59" s="51" t="s">
        <v>30</v>
      </c>
      <c r="I59" s="52">
        <f>$T$2</f>
        <v>52088.6</v>
      </c>
      <c r="J59" s="53">
        <f>IF(I59&lt;$J$57,0,IF(SUM($I$59:I59)&lt;350000,(I59-$J$57)*13%,I59*13%))</f>
        <v>6644.8260710001232</v>
      </c>
      <c r="N59" s="41">
        <f>I10</f>
        <v>135838.09494531035</v>
      </c>
      <c r="U59" s="153"/>
      <c r="V59" s="95" t="s">
        <v>66</v>
      </c>
      <c r="W59" s="95" t="s">
        <v>67</v>
      </c>
      <c r="X59" s="95" t="s">
        <v>68</v>
      </c>
      <c r="Y59" s="95" t="s">
        <v>69</v>
      </c>
    </row>
    <row r="60" spans="7:29" s="38" customFormat="1" ht="38.25" x14ac:dyDescent="0.2">
      <c r="H60" s="51" t="s">
        <v>31</v>
      </c>
      <c r="I60" s="52">
        <f t="shared" ref="I60:I69" si="3">$T$2</f>
        <v>52088.6</v>
      </c>
      <c r="J60" s="53">
        <f>IF(I60&lt;$J$57,0,IF(SUM($I$59:I60)&lt;350000,(I60-$J$57)*13%,I60*13%))</f>
        <v>6644.8260710001232</v>
      </c>
      <c r="U60" s="96" t="s">
        <v>70</v>
      </c>
      <c r="V60" s="97">
        <v>72228</v>
      </c>
      <c r="W60" s="97">
        <v>335164</v>
      </c>
      <c r="X60" s="98">
        <v>24278.479842858102</v>
      </c>
      <c r="Y60" s="98">
        <v>252523238.33000001</v>
      </c>
    </row>
    <row r="61" spans="7:29" s="38" customFormat="1" x14ac:dyDescent="0.2">
      <c r="H61" s="51" t="s">
        <v>32</v>
      </c>
      <c r="I61" s="52">
        <f t="shared" si="3"/>
        <v>52088.6</v>
      </c>
      <c r="J61" s="53">
        <f>IF(I61&lt;$J$57,0,IF(SUM($I$59:I61)&lt;350000,(I61-$J$57)*13%,I61*13%))</f>
        <v>6644.8260710001232</v>
      </c>
    </row>
    <row r="62" spans="7:29" s="38" customFormat="1" x14ac:dyDescent="0.2">
      <c r="H62" s="51" t="s">
        <v>33</v>
      </c>
      <c r="I62" s="52">
        <f t="shared" si="3"/>
        <v>52088.6</v>
      </c>
      <c r="J62" s="53">
        <f>IF(I62&lt;$J$57,0,IF(SUM($I$59:I62)&lt;350000,(I62-$J$57)*13%,I62*13%))</f>
        <v>6644.8260710001232</v>
      </c>
    </row>
    <row r="63" spans="7:29" s="38" customFormat="1" x14ac:dyDescent="0.2">
      <c r="H63" s="51" t="s">
        <v>34</v>
      </c>
      <c r="I63" s="52">
        <f t="shared" si="3"/>
        <v>52088.6</v>
      </c>
      <c r="J63" s="53">
        <f>IF(I63&lt;$J$57,0,IF(SUM($I$59:I63)&lt;350000,(I63-$J$57)*13%,I63*13%))</f>
        <v>6644.8260710001232</v>
      </c>
    </row>
    <row r="64" spans="7:29" s="38" customFormat="1" x14ac:dyDescent="0.2">
      <c r="H64" s="51" t="s">
        <v>35</v>
      </c>
      <c r="I64" s="52">
        <f>$T$2</f>
        <v>52088.6</v>
      </c>
      <c r="J64" s="53">
        <f>IF(I64&lt;$J$57,0,IF(SUM($I$59:I64)&lt;350000,(I64-$J$57)*13%,I64*13%))</f>
        <v>6644.8260710001232</v>
      </c>
      <c r="Q64" s="38">
        <v>2019</v>
      </c>
      <c r="T64" s="38">
        <v>337044086</v>
      </c>
    </row>
    <row r="65" spans="8:25" s="38" customFormat="1" x14ac:dyDescent="0.2">
      <c r="H65" s="51" t="s">
        <v>36</v>
      </c>
      <c r="I65" s="52">
        <f t="shared" si="3"/>
        <v>52088.6</v>
      </c>
      <c r="J65" s="53">
        <f>IF(I65&lt;$J$57,0,IF(SUM($I$59:I65)&lt;350000,(I65-$J$57)*13%,I65*13%))</f>
        <v>6771.518</v>
      </c>
      <c r="T65" s="38">
        <f>98842099.9+16482539.2+25149811.6+40868273.1+8108859.2+1854912.6</f>
        <v>191306495.59999999</v>
      </c>
    </row>
    <row r="66" spans="8:25" s="38" customFormat="1" x14ac:dyDescent="0.2">
      <c r="H66" s="51" t="s">
        <v>37</v>
      </c>
      <c r="I66" s="52">
        <f t="shared" si="3"/>
        <v>52088.6</v>
      </c>
      <c r="J66" s="53">
        <f>IF(I66&lt;$J$57,0,IF(SUM($I$59:I66)&lt;350000,(I66-$J$57)*13%,I66*13%))</f>
        <v>6771.518</v>
      </c>
      <c r="T66" s="38">
        <f>T65/T64*100</f>
        <v>56.760080816252625</v>
      </c>
    </row>
    <row r="67" spans="8:25" s="38" customFormat="1" x14ac:dyDescent="0.2">
      <c r="H67" s="51" t="s">
        <v>38</v>
      </c>
      <c r="I67" s="52">
        <f t="shared" si="3"/>
        <v>52088.6</v>
      </c>
      <c r="J67" s="53">
        <f>IF(I67&lt;$J$57,0,IF(SUM($I$59:I67)&lt;350000,(I67-$J$57)*13%,I67*13%))</f>
        <v>6771.518</v>
      </c>
    </row>
    <row r="68" spans="8:25" s="38" customFormat="1" x14ac:dyDescent="0.2">
      <c r="H68" s="51" t="s">
        <v>39</v>
      </c>
      <c r="I68" s="52">
        <f t="shared" si="3"/>
        <v>52088.6</v>
      </c>
      <c r="J68" s="53">
        <f>IF(I68&lt;$J$57,0,IF(SUM($I$59:I68)&lt;350000,(I68-$J$57)*13%,I68*13%))</f>
        <v>6771.518</v>
      </c>
    </row>
    <row r="69" spans="8:25" s="38" customFormat="1" x14ac:dyDescent="0.2">
      <c r="H69" s="51" t="s">
        <v>40</v>
      </c>
      <c r="I69" s="52">
        <f t="shared" si="3"/>
        <v>52088.6</v>
      </c>
      <c r="J69" s="53">
        <f>IF(I69&lt;$J$57,0,IF(SUM($I$59:I69)&lt;350000,(I69-$J$57)*13%,I69*13%))</f>
        <v>6771.518</v>
      </c>
    </row>
    <row r="70" spans="8:25" s="38" customFormat="1" x14ac:dyDescent="0.2">
      <c r="H70" s="51" t="s">
        <v>41</v>
      </c>
      <c r="I70" s="54">
        <f>$T$2-T5</f>
        <v>48088.6</v>
      </c>
      <c r="J70" s="53">
        <f>IF(I70&lt;$J$57,0,IF(SUM($I$59:I70)&lt;350000,(I70-$J$57)*13%,I70*13%))</f>
        <v>6251.518</v>
      </c>
    </row>
    <row r="71" spans="8:25" s="38" customFormat="1" x14ac:dyDescent="0.2">
      <c r="H71" s="55"/>
      <c r="I71" s="56">
        <f>I59*12*13%</f>
        <v>81258.216</v>
      </c>
      <c r="J71" s="57">
        <f>SUM(J59:J70)</f>
        <v>79978.06442600071</v>
      </c>
      <c r="K71" s="38">
        <f>J71/I71</f>
        <v>0.98424588137648394</v>
      </c>
    </row>
    <row r="72" spans="8:25" s="38" customFormat="1" x14ac:dyDescent="0.2"/>
    <row r="73" spans="8:25" s="38" customFormat="1" x14ac:dyDescent="0.2">
      <c r="H73" s="41">
        <f>I10</f>
        <v>135838.09494531035</v>
      </c>
      <c r="J73" s="38">
        <f>H73/T6*1000</f>
        <v>91611.776800604246</v>
      </c>
    </row>
    <row r="74" spans="8:25" s="38" customFormat="1" ht="71.25" customHeight="1" x14ac:dyDescent="0.2">
      <c r="H74" s="146" t="s">
        <v>27</v>
      </c>
      <c r="I74" s="147"/>
      <c r="J74" s="47">
        <f>1400*J56</f>
        <v>974.55329999905598</v>
      </c>
      <c r="K74" s="38" t="s">
        <v>120</v>
      </c>
      <c r="U74" s="109" t="s">
        <v>96</v>
      </c>
      <c r="V74" s="110" t="s">
        <v>97</v>
      </c>
      <c r="W74" s="111" t="s">
        <v>98</v>
      </c>
      <c r="X74" s="112" t="s">
        <v>99</v>
      </c>
      <c r="Y74" s="114">
        <v>321556986.89999998</v>
      </c>
    </row>
    <row r="75" spans="8:25" s="38" customFormat="1" ht="37.5" customHeight="1" x14ac:dyDescent="0.2">
      <c r="H75" s="48"/>
      <c r="I75" s="49" t="s">
        <v>28</v>
      </c>
      <c r="J75" s="50" t="s">
        <v>29</v>
      </c>
      <c r="K75" s="38" t="s">
        <v>125</v>
      </c>
      <c r="U75" s="109" t="s">
        <v>100</v>
      </c>
      <c r="V75" s="110" t="s">
        <v>97</v>
      </c>
      <c r="W75" s="111" t="s">
        <v>98</v>
      </c>
      <c r="X75" s="112" t="s">
        <v>101</v>
      </c>
      <c r="Y75" s="113">
        <v>1433078133.3299999</v>
      </c>
    </row>
    <row r="76" spans="8:25" s="38" customFormat="1" ht="42" customHeight="1" x14ac:dyDescent="0.2">
      <c r="H76" s="51" t="s">
        <v>30</v>
      </c>
      <c r="I76" s="52">
        <f>$T$7</f>
        <v>44934.075000000004</v>
      </c>
      <c r="J76" s="53">
        <f>IF(I76&lt;$J$57,0,IF(SUM($I$76:I76)&lt;350000,(I76-$J$57)*13%,I76*13%))</f>
        <v>5714.7378210001234</v>
      </c>
      <c r="U76" s="109" t="s">
        <v>102</v>
      </c>
      <c r="V76" s="110" t="s">
        <v>97</v>
      </c>
      <c r="W76" s="111" t="s">
        <v>98</v>
      </c>
      <c r="X76" s="112" t="s">
        <v>103</v>
      </c>
      <c r="Y76" s="113">
        <v>1470812634.9100001</v>
      </c>
    </row>
    <row r="77" spans="8:25" s="38" customFormat="1" ht="41.25" customHeight="1" x14ac:dyDescent="0.2">
      <c r="H77" s="51" t="s">
        <v>31</v>
      </c>
      <c r="I77" s="52">
        <f>I76</f>
        <v>44934.075000000004</v>
      </c>
      <c r="J77" s="53">
        <f>IF(I77&lt;$J$57,0,IF(SUM($I$76:I77)&lt;350000,(I77-$J$57)*13%,I77*13%))</f>
        <v>5714.7378210001234</v>
      </c>
      <c r="U77" s="109" t="s">
        <v>104</v>
      </c>
      <c r="V77" s="110" t="s">
        <v>97</v>
      </c>
      <c r="W77" s="111" t="s">
        <v>98</v>
      </c>
      <c r="X77" s="112" t="s">
        <v>105</v>
      </c>
      <c r="Y77" s="113">
        <v>4839287.88</v>
      </c>
    </row>
    <row r="78" spans="8:25" s="38" customFormat="1" ht="42.75" customHeight="1" x14ac:dyDescent="0.2">
      <c r="H78" s="51" t="s">
        <v>32</v>
      </c>
      <c r="I78" s="52">
        <f t="shared" ref="I78:I86" si="4">I77</f>
        <v>44934.075000000004</v>
      </c>
      <c r="J78" s="53">
        <f>IF(I78&lt;$J$57,0,IF(SUM($I$76:I78)&lt;350000,(I78-$J$57)*13%,I78*13%))</f>
        <v>5714.7378210001234</v>
      </c>
      <c r="U78" s="109" t="s">
        <v>106</v>
      </c>
      <c r="V78" s="110" t="s">
        <v>97</v>
      </c>
      <c r="W78" s="111" t="s">
        <v>98</v>
      </c>
      <c r="X78" s="112" t="s">
        <v>107</v>
      </c>
      <c r="Y78" s="113">
        <v>1305942.21</v>
      </c>
    </row>
    <row r="79" spans="8:25" s="38" customFormat="1" ht="31.5" customHeight="1" x14ac:dyDescent="0.2">
      <c r="H79" s="51" t="s">
        <v>33</v>
      </c>
      <c r="I79" s="52">
        <f t="shared" si="4"/>
        <v>44934.075000000004</v>
      </c>
      <c r="J79" s="53">
        <f>IF(I79&lt;$J$57,0,IF(SUM($I$76:I79)&lt;350000,(I79-$J$57)*13%,I79*13%))</f>
        <v>5714.7378210001234</v>
      </c>
      <c r="U79" s="109" t="s">
        <v>108</v>
      </c>
      <c r="V79" s="110" t="s">
        <v>97</v>
      </c>
      <c r="W79" s="111" t="s">
        <v>98</v>
      </c>
      <c r="X79" s="112" t="s">
        <v>109</v>
      </c>
      <c r="Y79" s="113">
        <v>38298373.329999998</v>
      </c>
    </row>
    <row r="80" spans="8:25" s="38" customFormat="1" ht="33.75" customHeight="1" x14ac:dyDescent="0.2">
      <c r="H80" s="51" t="s">
        <v>34</v>
      </c>
      <c r="I80" s="52">
        <f t="shared" si="4"/>
        <v>44934.075000000004</v>
      </c>
      <c r="J80" s="53">
        <f>IF(I80&lt;$J$57,0,IF(SUM($I$76:I80)&lt;350000,(I80-$J$57)*13%,I80*13%))</f>
        <v>5714.7378210001234</v>
      </c>
      <c r="U80" s="109" t="s">
        <v>110</v>
      </c>
      <c r="V80" s="110" t="s">
        <v>97</v>
      </c>
      <c r="W80" s="111" t="s">
        <v>98</v>
      </c>
      <c r="X80" s="112" t="s">
        <v>111</v>
      </c>
      <c r="Y80" s="113">
        <v>8047161.7000000002</v>
      </c>
    </row>
    <row r="81" spans="8:10" s="38" customFormat="1" x14ac:dyDescent="0.2">
      <c r="H81" s="51" t="s">
        <v>35</v>
      </c>
      <c r="I81" s="52">
        <f t="shared" si="4"/>
        <v>44934.075000000004</v>
      </c>
      <c r="J81" s="53">
        <f>IF(I81&lt;$J$57,0,IF(SUM($I$76:I81)&lt;350000,(I81-$J$57)*13%,I81*13%))</f>
        <v>5714.7378210001234</v>
      </c>
    </row>
    <row r="82" spans="8:10" s="38" customFormat="1" x14ac:dyDescent="0.2">
      <c r="H82" s="51" t="s">
        <v>36</v>
      </c>
      <c r="I82" s="52">
        <f t="shared" si="4"/>
        <v>44934.075000000004</v>
      </c>
      <c r="J82" s="53">
        <f>IF(I82&lt;$J$57,0,IF(SUM($I$76:I82)&lt;350000,(I82-$J$57)*13%,I82*13%))</f>
        <v>5714.7378210001234</v>
      </c>
    </row>
    <row r="83" spans="8:10" s="38" customFormat="1" x14ac:dyDescent="0.2">
      <c r="H83" s="51" t="s">
        <v>37</v>
      </c>
      <c r="I83" s="52">
        <f t="shared" si="4"/>
        <v>44934.075000000004</v>
      </c>
      <c r="J83" s="53">
        <f>IF(I83&lt;$J$57,0,IF(SUM($I$76:I83)&lt;350000,(I83-$J$57)*13%,I83*13%))</f>
        <v>5841.4297500000011</v>
      </c>
    </row>
    <row r="84" spans="8:10" s="38" customFormat="1" x14ac:dyDescent="0.2">
      <c r="H84" s="51" t="s">
        <v>38</v>
      </c>
      <c r="I84" s="52">
        <f t="shared" si="4"/>
        <v>44934.075000000004</v>
      </c>
      <c r="J84" s="53">
        <f>IF(I84&lt;$J$57,0,IF(SUM($I$76:I84)&lt;350000,(I84-$J$57)*13%,I84*13%))</f>
        <v>5841.4297500000011</v>
      </c>
    </row>
    <row r="85" spans="8:10" s="38" customFormat="1" x14ac:dyDescent="0.2">
      <c r="H85" s="51" t="s">
        <v>39</v>
      </c>
      <c r="I85" s="52">
        <f t="shared" si="4"/>
        <v>44934.075000000004</v>
      </c>
      <c r="J85" s="53">
        <f>IF(I85&lt;$J$57,0,IF(SUM($I$76:I85)&lt;350000,(I85-$J$57)*13%,I85*13%))</f>
        <v>5841.4297500000011</v>
      </c>
    </row>
    <row r="86" spans="8:10" s="38" customFormat="1" x14ac:dyDescent="0.2">
      <c r="H86" s="51" t="s">
        <v>40</v>
      </c>
      <c r="I86" s="52">
        <f t="shared" si="4"/>
        <v>44934.075000000004</v>
      </c>
      <c r="J86" s="53">
        <f>IF(I86&lt;$J$57,0,IF(SUM($I$76:I86)&lt;350000,(I86-$J$57)*13%,I86*13%))</f>
        <v>5841.4297500000011</v>
      </c>
    </row>
    <row r="87" spans="8:10" s="38" customFormat="1" x14ac:dyDescent="0.2">
      <c r="H87" s="51" t="s">
        <v>41</v>
      </c>
      <c r="I87" s="52">
        <f>I86-T5</f>
        <v>40934.075000000004</v>
      </c>
      <c r="J87" s="53">
        <f>IF(I87&lt;$J$57,0,IF(SUM($I$76:I87)&lt;350000,(I87-$J$57)*13%,I87*13%))</f>
        <v>5321.4297500000011</v>
      </c>
    </row>
    <row r="88" spans="8:10" s="38" customFormat="1" x14ac:dyDescent="0.2">
      <c r="H88" s="55"/>
      <c r="I88" s="56">
        <f>(I76*5+I81*7)*13%</f>
        <v>70097.157000000007</v>
      </c>
      <c r="J88" s="57">
        <f>SUM(J76:J87)</f>
        <v>68690.313497000883</v>
      </c>
    </row>
    <row r="89" spans="8:10" s="38" customFormat="1" x14ac:dyDescent="0.2"/>
    <row r="90" spans="8:10" s="38" customFormat="1" x14ac:dyDescent="0.2">
      <c r="J90" s="38">
        <f>J88*T11/1000</f>
        <v>8066.9001012219687</v>
      </c>
    </row>
    <row r="91" spans="8:10" s="38" customFormat="1" x14ac:dyDescent="0.2"/>
    <row r="92" spans="8:10" s="38" customFormat="1" x14ac:dyDescent="0.2"/>
    <row r="93" spans="8:10" s="38" customFormat="1" x14ac:dyDescent="0.2"/>
    <row r="94" spans="8:10" s="38" customFormat="1" x14ac:dyDescent="0.2"/>
    <row r="95" spans="8:10" s="38" customFormat="1" x14ac:dyDescent="0.2"/>
    <row r="96" spans="8:10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</sheetData>
  <mergeCells count="45">
    <mergeCell ref="U57:Y57"/>
    <mergeCell ref="U58:U59"/>
    <mergeCell ref="V58:Y58"/>
    <mergeCell ref="H74:I74"/>
    <mergeCell ref="O23:P25"/>
    <mergeCell ref="Q23:Q25"/>
    <mergeCell ref="I46:K46"/>
    <mergeCell ref="L46:N46"/>
    <mergeCell ref="P46:Q46"/>
    <mergeCell ref="P44:Q44"/>
    <mergeCell ref="P45:Q45"/>
    <mergeCell ref="I42:K42"/>
    <mergeCell ref="L42:N42"/>
    <mergeCell ref="P42:Q42"/>
    <mergeCell ref="I43:K43"/>
    <mergeCell ref="L43:N43"/>
    <mergeCell ref="G47:G48"/>
    <mergeCell ref="L48:N48"/>
    <mergeCell ref="H57:I57"/>
    <mergeCell ref="I44:K44"/>
    <mergeCell ref="L44:N44"/>
    <mergeCell ref="I45:K45"/>
    <mergeCell ref="L45:N45"/>
    <mergeCell ref="P43:Q43"/>
    <mergeCell ref="I40:K40"/>
    <mergeCell ref="L40:N40"/>
    <mergeCell ref="P40:Q40"/>
    <mergeCell ref="I41:K41"/>
    <mergeCell ref="L41:N41"/>
    <mergeCell ref="P41:Q41"/>
    <mergeCell ref="AD29:AD30"/>
    <mergeCell ref="R30:R31"/>
    <mergeCell ref="S30:S31"/>
    <mergeCell ref="T30:T31"/>
    <mergeCell ref="G2:Q2"/>
    <mergeCell ref="P6:Q6"/>
    <mergeCell ref="L7:L20"/>
    <mergeCell ref="H12:H13"/>
    <mergeCell ref="N16:Q16"/>
    <mergeCell ref="N20:O20"/>
    <mergeCell ref="L21:L35"/>
    <mergeCell ref="T28:T29"/>
    <mergeCell ref="U28:W29"/>
    <mergeCell ref="H29:H32"/>
    <mergeCell ref="I29:I32"/>
  </mergeCells>
  <printOptions horizontalCentered="1"/>
  <pageMargins left="0.18" right="0.17" top="0.25" bottom="0.2" header="0.19" footer="0.17"/>
  <pageSetup paperSize="9" scale="94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Консолид_бюджет(текущ)</vt:lpstr>
      <vt:lpstr>Консолид_(мод)</vt:lpstr>
      <vt:lpstr>Подбор зарплаты</vt:lpstr>
      <vt:lpstr>Подбор численности</vt:lpstr>
      <vt:lpstr>Подбор "серый рынок"</vt:lpstr>
      <vt:lpstr>'Консолид_(мод)'!Область_печати</vt:lpstr>
      <vt:lpstr>'Консолид_бюджет(текущ)'!Область_печати</vt:lpstr>
      <vt:lpstr>'Подбор "серый рынок"'!Область_печати</vt:lpstr>
      <vt:lpstr>'Подбор зарплаты'!Область_печати</vt:lpstr>
      <vt:lpstr>'Подбор численности'!Область_печати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Нурахметова</dc:creator>
  <cp:lastModifiedBy>Сюмбель Мубинова</cp:lastModifiedBy>
  <cp:lastPrinted>2023-10-11T13:19:38Z</cp:lastPrinted>
  <dcterms:created xsi:type="dcterms:W3CDTF">2005-09-27T07:06:25Z</dcterms:created>
  <dcterms:modified xsi:type="dcterms:W3CDTF">2023-10-11T13:30:38Z</dcterms:modified>
</cp:coreProperties>
</file>